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SCORE" sheetId="1" r:id="rId4"/>
    <sheet state="visible" name="Damelag" sheetId="2" r:id="rId5"/>
    <sheet state="visible" name="Herrelag" sheetId="3" r:id="rId6"/>
    <sheet state="visible" name="Mix" sheetId="4" r:id="rId7"/>
    <sheet state="visible" name="Postresultater" sheetId="5" r:id="rId8"/>
  </sheets>
  <definedNames/>
  <calcPr/>
  <extLst>
    <ext uri="GoogleSheetsCustomDataVersion2">
      <go:sheetsCustomData xmlns:go="http://customooxmlschemas.google.com/" r:id="rId9" roundtripDataChecksum="/7DnmPqHFy//Kqarw7zniK9DNdto6Ue1kziZMgwUWv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">
      <text>
        <t xml:space="preserve">======
ID#AAABnkztktg
    (2025-07-23 18:01:29)
Kvart minutt over gjer fem minuspoeng.
	-Hanna Ihlen</t>
      </text>
    </comment>
  </commentList>
  <extLst>
    <ext uri="GoogleSheetsCustomDataVersion2">
      <go:sheetsCustomData xmlns:go="http://customooxmlschemas.google.com/" r:id="rId1" roundtripDataSignature="AMtx7mgRcTZxtxjfhXdM+7zR6vZ0iCIXr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">
      <text>
        <t xml:space="preserve">======
ID#AAABnkztktk
    (2025-07-23 18:01:29)
Kvart minutt over gjer fem minuspoeng.
	-Hanna Ihlen</t>
      </text>
    </comment>
  </commentList>
  <extLst>
    <ext uri="GoogleSheetsCustomDataVersion2">
      <go:sheetsCustomData xmlns:go="http://customooxmlschemas.google.com/" r:id="rId1" roundtripDataSignature="AMtx7mhE5cvuwukfALFcBUCovxfT2xtvK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">
      <text>
        <t xml:space="preserve">======
ID#AAABnkztktc
    (2025-07-23 18:01:29)
Kvart minutt over gjer fem minuspoeng.
	-Hanna Ihlen</t>
      </text>
    </comment>
  </commentList>
  <extLst>
    <ext uri="GoogleSheetsCustomDataVersion2">
      <go:sheetsCustomData xmlns:go="http://customooxmlschemas.google.com/" r:id="rId1" roundtripDataSignature="AMtx7mi194+AfTsp+y1lk3lAK0mmH6h1qw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">
      <text>
        <t xml:space="preserve">======
ID#AAABnkztktY
    (2025-07-23 18:01:29)
Kvart minutt over gjer fem minuspoeng.
	-Hanna Ihlen</t>
      </text>
    </comment>
  </commentList>
  <extLst>
    <ext uri="GoogleSheetsCustomDataVersion2">
      <go:sheetsCustomData xmlns:go="http://customooxmlschemas.google.com/" r:id="rId1" roundtripDataSignature="AMtx7mhKMfBCdHBhlNnFBq2iO37rEZGEZA=="/>
    </ext>
  </extLst>
</comments>
</file>

<file path=xl/sharedStrings.xml><?xml version="1.0" encoding="utf-8"?>
<sst xmlns="http://schemas.openxmlformats.org/spreadsheetml/2006/main" count="309" uniqueCount="128">
  <si>
    <t>LAGNUMMER</t>
  </si>
  <si>
    <t>Lagstype</t>
  </si>
  <si>
    <t>Bemannede poster</t>
  </si>
  <si>
    <t>Ubemannede poster</t>
  </si>
  <si>
    <t>Minuspoeng tid</t>
  </si>
  <si>
    <t>Totalscore</t>
  </si>
  <si>
    <t>PALLPLASS</t>
  </si>
  <si>
    <t>LAG 1</t>
  </si>
  <si>
    <t>Første plass herrer</t>
  </si>
  <si>
    <t xml:space="preserve">Andre plass herrer </t>
  </si>
  <si>
    <t>Tredjeplass herrer</t>
  </si>
  <si>
    <t xml:space="preserve">Noe feil på totaloversikten </t>
  </si>
  <si>
    <t>LAG 2</t>
  </si>
  <si>
    <t>lag 15</t>
  </si>
  <si>
    <t>lag 79</t>
  </si>
  <si>
    <t>lag 4</t>
  </si>
  <si>
    <t>LAG 3</t>
  </si>
  <si>
    <t>LAG 4</t>
  </si>
  <si>
    <t>LAG 5</t>
  </si>
  <si>
    <t>Første plass damer</t>
  </si>
  <si>
    <t>Andre plass damer</t>
  </si>
  <si>
    <t>Tredjeplass damer</t>
  </si>
  <si>
    <t>LAG 6</t>
  </si>
  <si>
    <t>KOSTYME</t>
  </si>
  <si>
    <t xml:space="preserve">lag 35 </t>
  </si>
  <si>
    <t>lag 20</t>
  </si>
  <si>
    <t>lag 44</t>
  </si>
  <si>
    <t>LAG 7</t>
  </si>
  <si>
    <t>LAG 8</t>
  </si>
  <si>
    <t>Første plass mix</t>
  </si>
  <si>
    <t>Andre plass mix</t>
  </si>
  <si>
    <t>Tredjeplass mix</t>
  </si>
  <si>
    <t>LAG 9</t>
  </si>
  <si>
    <t>lag 73</t>
  </si>
  <si>
    <t>lag 14</t>
  </si>
  <si>
    <t>lag 82</t>
  </si>
  <si>
    <t>LAG 10</t>
  </si>
  <si>
    <t>LAG 11</t>
  </si>
  <si>
    <t>LAG 12</t>
  </si>
  <si>
    <t>LAG 13</t>
  </si>
  <si>
    <t>LAG 14</t>
  </si>
  <si>
    <t>LAG 15</t>
  </si>
  <si>
    <t>LAG 16</t>
  </si>
  <si>
    <t>LAG 17</t>
  </si>
  <si>
    <t>LAG 18</t>
  </si>
  <si>
    <t>LAG 19</t>
  </si>
  <si>
    <t>LAG 20</t>
  </si>
  <si>
    <t>LAG 21</t>
  </si>
  <si>
    <t>LAG 22</t>
  </si>
  <si>
    <t>LAG 23</t>
  </si>
  <si>
    <t>LAG 24</t>
  </si>
  <si>
    <t>LAG 25</t>
  </si>
  <si>
    <t>LAG 26</t>
  </si>
  <si>
    <t>LAG 27</t>
  </si>
  <si>
    <t>LAG 28</t>
  </si>
  <si>
    <t>LAG 29</t>
  </si>
  <si>
    <t>LAG 30</t>
  </si>
  <si>
    <t>LAG 31</t>
  </si>
  <si>
    <t>LAG 32</t>
  </si>
  <si>
    <t>LAG 33</t>
  </si>
  <si>
    <t>LAG 34</t>
  </si>
  <si>
    <t>LAG 35</t>
  </si>
  <si>
    <t>LAG 36</t>
  </si>
  <si>
    <t>LAG 37</t>
  </si>
  <si>
    <t>LAG 38</t>
  </si>
  <si>
    <t>LAG 39</t>
  </si>
  <si>
    <t>LAG 40</t>
  </si>
  <si>
    <t>LAG 41</t>
  </si>
  <si>
    <t>LAG 42</t>
  </si>
  <si>
    <t>LAG 43</t>
  </si>
  <si>
    <t>LAG 44</t>
  </si>
  <si>
    <t>LAG 45</t>
  </si>
  <si>
    <t>LAG 46</t>
  </si>
  <si>
    <t>LAG 47</t>
  </si>
  <si>
    <t>LAG 48</t>
  </si>
  <si>
    <t>LAG 49</t>
  </si>
  <si>
    <t>LAG 50</t>
  </si>
  <si>
    <t>LAG 51</t>
  </si>
  <si>
    <t>LAG 52</t>
  </si>
  <si>
    <t>LAG 53</t>
  </si>
  <si>
    <t>LAG 54</t>
  </si>
  <si>
    <t>LAG 55</t>
  </si>
  <si>
    <t>LAG 56</t>
  </si>
  <si>
    <t>LAG 57</t>
  </si>
  <si>
    <t>LAG 58</t>
  </si>
  <si>
    <t>LAG 59</t>
  </si>
  <si>
    <t>LAG 60</t>
  </si>
  <si>
    <t>LAG 61</t>
  </si>
  <si>
    <t>LAG 62</t>
  </si>
  <si>
    <t>LAG 63</t>
  </si>
  <si>
    <t>LAG 64</t>
  </si>
  <si>
    <t>LAG 65</t>
  </si>
  <si>
    <t>LAG 66</t>
  </si>
  <si>
    <t>LAG 67</t>
  </si>
  <si>
    <t>LAG 68</t>
  </si>
  <si>
    <t>LAG 69</t>
  </si>
  <si>
    <t>LAG 70</t>
  </si>
  <si>
    <t>LAG 71</t>
  </si>
  <si>
    <t>LAG 72</t>
  </si>
  <si>
    <t>LAG 73</t>
  </si>
  <si>
    <t>LAG 74</t>
  </si>
  <si>
    <t>LAG 75</t>
  </si>
  <si>
    <t>LAG 76</t>
  </si>
  <si>
    <t>LAG 77</t>
  </si>
  <si>
    <t>LAG 78</t>
  </si>
  <si>
    <t>LAG 79</t>
  </si>
  <si>
    <t>LAG 80</t>
  </si>
  <si>
    <t>LAG 81</t>
  </si>
  <si>
    <t>LAG 82</t>
  </si>
  <si>
    <t>LAG 83</t>
  </si>
  <si>
    <t>LAG 84</t>
  </si>
  <si>
    <t>LAG 85</t>
  </si>
  <si>
    <t>LAG 86</t>
  </si>
  <si>
    <t>LAG 87</t>
  </si>
  <si>
    <t>LAG 88</t>
  </si>
  <si>
    <t>LAG 89</t>
  </si>
  <si>
    <t>LAG 90</t>
  </si>
  <si>
    <t>Damelag</t>
  </si>
  <si>
    <t>NR 2</t>
  </si>
  <si>
    <t>NR 1</t>
  </si>
  <si>
    <t>NR 3</t>
  </si>
  <si>
    <t>Antall</t>
  </si>
  <si>
    <t>Herrelag</t>
  </si>
  <si>
    <t>Nr 3</t>
  </si>
  <si>
    <t>Nr 2</t>
  </si>
  <si>
    <t>Herrlag</t>
  </si>
  <si>
    <t>Mixlag</t>
  </si>
  <si>
    <t>Antall mix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</si>
</sst>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\ h:mm:ss"/>
  </numFmts>
  <fonts count="5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b/>
      <sz val="10.0"/>
      <color theme="1"/>
      <name val="Arial"/>
    </font>
    <font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00FF00"/>
        <bgColor rgb="FF00FF00"/>
      </patternFill>
    </fill>
    <fill>
      <patternFill patternType="solid">
        <fgColor theme="4"/>
        <bgColor theme="4"/>
      </patternFill>
    </fill>
    <fill>
      <patternFill patternType="solid">
        <fgColor rgb="FFD9E6FC"/>
        <bgColor rgb="FFD9E6FC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8DB5F8"/>
      </left>
      <right/>
      <top style="thin">
        <color rgb="FF8DB5F8"/>
      </top>
      <bottom style="thin">
        <color rgb="FF8DB5F8"/>
      </bottom>
    </border>
    <border>
      <left/>
      <right/>
      <top style="thin">
        <color rgb="FF8DB5F8"/>
      </top>
      <bottom style="thin">
        <color rgb="FF8DB5F8"/>
      </bottom>
    </border>
    <border>
      <left/>
      <right style="thin">
        <color rgb="FF8DB5F8"/>
      </right>
      <top style="thin">
        <color rgb="FF8DB5F8"/>
      </top>
      <bottom style="thin">
        <color rgb="FF8DB5F8"/>
      </bottom>
    </border>
    <border>
      <left style="thin">
        <color rgb="FF8DB5F8"/>
      </left>
      <top style="thin">
        <color rgb="FF8DB5F8"/>
      </top>
      <bottom style="thin">
        <color rgb="FF8DB5F8"/>
      </bottom>
    </border>
    <border>
      <top style="thin">
        <color rgb="FF8DB5F8"/>
      </top>
      <bottom style="thin">
        <color rgb="FF8DB5F8"/>
      </bottom>
    </border>
    <border>
      <right style="thin">
        <color rgb="FF8DB5F8"/>
      </right>
      <top style="thin">
        <color rgb="FF8DB5F8"/>
      </top>
      <bottom style="thin">
        <color rgb="FF8DB5F8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Font="1"/>
    <xf borderId="0" fillId="0" fontId="2" numFmtId="0" xfId="0" applyFont="1"/>
    <xf borderId="1" fillId="2" fontId="1" numFmtId="0" xfId="0" applyBorder="1" applyFill="1" applyFont="1"/>
    <xf borderId="1" fillId="0" fontId="1" numFmtId="0" xfId="0" applyAlignment="1" applyBorder="1" applyFont="1">
      <alignment readingOrder="0"/>
    </xf>
    <xf borderId="2" fillId="3" fontId="1" numFmtId="0" xfId="0" applyBorder="1" applyFill="1" applyFont="1"/>
    <xf borderId="3" fillId="4" fontId="3" numFmtId="0" xfId="0" applyBorder="1" applyFill="1" applyFont="1"/>
    <xf borderId="4" fillId="4" fontId="3" numFmtId="0" xfId="0" applyBorder="1" applyFont="1"/>
    <xf borderId="5" fillId="4" fontId="3" numFmtId="0" xfId="0" applyBorder="1" applyFont="1"/>
    <xf borderId="3" fillId="5" fontId="1" numFmtId="0" xfId="0" applyBorder="1" applyFill="1" applyFont="1"/>
    <xf borderId="4" fillId="5" fontId="1" numFmtId="0" xfId="0" applyBorder="1" applyFont="1"/>
    <xf borderId="5" fillId="5" fontId="1" numFmtId="0" xfId="0" applyBorder="1" applyFon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0" fillId="0" fontId="4" numFmtId="0" xfId="0" applyFont="1"/>
    <xf borderId="0" fillId="0" fontId="2" numFmtId="0" xfId="0" applyFont="1"/>
    <xf borderId="0" fillId="0" fontId="1" numFmtId="16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6FC"/>
          <bgColor rgb="FFD9E6FC"/>
        </patternFill>
      </fill>
      <border/>
    </dxf>
    <dxf>
      <font/>
      <fill>
        <patternFill patternType="solid">
          <fgColor rgb="FFB3CEFA"/>
          <bgColor rgb="FFB3CEFA"/>
        </patternFill>
      </fill>
      <border/>
    </dxf>
  </dxfs>
  <tableStyles count="1">
    <tableStyle count="3" pivot="0" name="TOTALSCORE-style">
      <tableStyleElement dxfId="1" type="headerRow"/>
      <tableStyleElement dxfId="2" type="firstRowStripe"/>
      <tableStyleElement dxfId="3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F91" displayName="Table_1" name="Table_1" id="1">
  <tableColumns count="6">
    <tableColumn name="LAGNUMMER" id="1"/>
    <tableColumn name="Lagstype" id="2"/>
    <tableColumn name="Bemannede poster" id="3"/>
    <tableColumn name="Ubemannede poster" id="4"/>
    <tableColumn name="Minuspoeng tid" id="5"/>
    <tableColumn name="Totalscore" id="6"/>
  </tableColumns>
  <tableStyleInfo name="TOTALSCOR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19.63"/>
    <col customWidth="1" min="3" max="3" width="19.0"/>
    <col customWidth="1" min="4" max="4" width="20.13"/>
    <col customWidth="1" min="5" max="5" width="16.13"/>
    <col customWidth="1" min="6" max="6" width="12.63"/>
    <col customWidth="1" min="8" max="9" width="15.13"/>
    <col customWidth="1" min="10" max="10" width="14.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</row>
    <row r="2" ht="15.75" customHeight="1">
      <c r="A2" s="1" t="s">
        <v>7</v>
      </c>
      <c r="B2" s="1" t="str">
        <f t="array" ref="B2">IF(A2="", "", INDEX(Postresultater!E:E, MATCH(A2, Postresultater!C:C, 0)))</f>
        <v>Damelag</v>
      </c>
      <c r="C2" s="1">
        <f>SUMIF(Postresultater!$C$2:$C$1000,A2,Postresultater!$D$2:$D$1000)</f>
        <v>64</v>
      </c>
      <c r="D2" s="1">
        <f>20+20+10+15+20</f>
        <v>85</v>
      </c>
      <c r="E2" s="3"/>
      <c r="F2" s="1">
        <f t="shared" ref="F2:F91" si="1">C2+D2-E2</f>
        <v>149</v>
      </c>
      <c r="H2" s="4" t="s">
        <v>8</v>
      </c>
      <c r="I2" s="4" t="s">
        <v>9</v>
      </c>
      <c r="J2" s="4" t="s">
        <v>10</v>
      </c>
      <c r="L2" s="2" t="s">
        <v>11</v>
      </c>
    </row>
    <row r="3" ht="15.75" customHeight="1">
      <c r="A3" s="1" t="s">
        <v>12</v>
      </c>
      <c r="B3" s="1" t="str">
        <f t="array" ref="B3">IF(A3="", "", INDEX(Postresultater!E:E, MATCH(A3, Postresultater!C:C, 0)))</f>
        <v>Damelag</v>
      </c>
      <c r="C3" s="1">
        <f>SUMIF(Postresultater!$C$2:$C$1000,A3,Postresultater!$D$2:$D$1000)</f>
        <v>234</v>
      </c>
      <c r="D3" s="1">
        <f>10</f>
        <v>10</v>
      </c>
      <c r="E3" s="3"/>
      <c r="F3" s="1">
        <f t="shared" si="1"/>
        <v>244</v>
      </c>
      <c r="H3" s="5" t="s">
        <v>13</v>
      </c>
      <c r="I3" s="5" t="s">
        <v>14</v>
      </c>
      <c r="J3" s="5" t="s">
        <v>15</v>
      </c>
    </row>
    <row r="4" ht="15.75" customHeight="1">
      <c r="A4" s="1" t="s">
        <v>16</v>
      </c>
      <c r="B4" s="1" t="str">
        <f t="array" ref="B4">IF(A4="", "", INDEX(Postresultater!E:E, MATCH(A4, Postresultater!C:C, 0)))</f>
        <v>Damelag</v>
      </c>
      <c r="C4" s="1">
        <f>SUMIF(Postresultater!$C$2:$C$1000,A4,Postresultater!$D$2:$D$1000)</f>
        <v>223</v>
      </c>
      <c r="D4" s="3"/>
      <c r="E4" s="3"/>
      <c r="F4" s="1">
        <f t="shared" si="1"/>
        <v>223</v>
      </c>
    </row>
    <row r="5" ht="15.75" customHeight="1">
      <c r="A5" s="1" t="s">
        <v>17</v>
      </c>
      <c r="B5" s="1" t="str">
        <f t="array" ref="B5">IF(A5="", "", INDEX(Postresultater!E:E, MATCH(A5, Postresultater!C:C, 0)))</f>
        <v>Herrelag</v>
      </c>
      <c r="C5" s="1">
        <f>SUMIF(Postresultater!$C$2:$C$1000,A5,Postresultater!$D$2:$D$1000)</f>
        <v>75</v>
      </c>
      <c r="D5" s="1">
        <f>15+15+30+30+25+25+20+10+20+20+10+10+15+25+30+15+20+15</f>
        <v>350</v>
      </c>
      <c r="E5" s="3"/>
      <c r="F5" s="1">
        <f t="shared" si="1"/>
        <v>425</v>
      </c>
    </row>
    <row r="6" ht="15.75" customHeight="1">
      <c r="A6" s="1" t="s">
        <v>18</v>
      </c>
      <c r="B6" s="1" t="str">
        <f t="array" ref="B6">IF(A6="", "", INDEX(Postresultater!E:E, MATCH(A6, Postresultater!C:C, 0)))</f>
        <v>Mixlag</v>
      </c>
      <c r="C6" s="1">
        <f>SUMIF(Postresultater!$C$2:$C$1000,A6,Postresultater!$D$2:$D$1000)</f>
        <v>293</v>
      </c>
      <c r="D6" s="1">
        <f>15+10+10+15</f>
        <v>50</v>
      </c>
      <c r="E6" s="3"/>
      <c r="F6" s="1">
        <f t="shared" si="1"/>
        <v>343</v>
      </c>
      <c r="H6" s="4" t="s">
        <v>19</v>
      </c>
      <c r="I6" s="4" t="s">
        <v>20</v>
      </c>
      <c r="J6" s="4" t="s">
        <v>21</v>
      </c>
    </row>
    <row r="7" ht="15.75" customHeight="1">
      <c r="A7" s="1" t="s">
        <v>22</v>
      </c>
      <c r="B7" s="1" t="str">
        <f t="array" ref="B7">IF(A7="", "", INDEX(Postresultater!E:E, MATCH(A7, Postresultater!C:C, 0)))</f>
        <v>Mixlag</v>
      </c>
      <c r="C7" s="1">
        <f>SUMIF(Postresultater!$C$2:$C$1000,A7,Postresultater!$D$2:$D$1000)</f>
        <v>226</v>
      </c>
      <c r="D7" s="1">
        <v>75.0</v>
      </c>
      <c r="E7" s="3"/>
      <c r="F7" s="1">
        <f t="shared" si="1"/>
        <v>301</v>
      </c>
      <c r="G7" s="6" t="s">
        <v>23</v>
      </c>
      <c r="H7" s="5" t="s">
        <v>24</v>
      </c>
      <c r="I7" s="5" t="s">
        <v>25</v>
      </c>
      <c r="J7" s="5" t="s">
        <v>26</v>
      </c>
    </row>
    <row r="8" ht="15.75" customHeight="1">
      <c r="A8" s="1" t="s">
        <v>27</v>
      </c>
      <c r="B8" s="1" t="str">
        <f t="array" ref="B8">IF(A8="", "", INDEX(Postresultater!E:E, MATCH(A8, Postresultater!C:C, 0)))</f>
        <v>Mixlag</v>
      </c>
      <c r="C8" s="1">
        <f>SUMIF(Postresultater!$C$2:$C$1000,A8,Postresultater!$D$2:$D$1000)</f>
        <v>219</v>
      </c>
      <c r="D8" s="1">
        <f>15+15+10+10</f>
        <v>50</v>
      </c>
      <c r="E8" s="3"/>
      <c r="F8" s="1">
        <f t="shared" si="1"/>
        <v>269</v>
      </c>
    </row>
    <row r="9" ht="15.75" customHeight="1">
      <c r="A9" s="1" t="s">
        <v>28</v>
      </c>
      <c r="B9" s="1" t="str">
        <f t="array" ref="B9">IF(A9="", "", INDEX(Postresultater!E:E, MATCH(A9, Postresultater!C:C, 0)))</f>
        <v>Herrelag</v>
      </c>
      <c r="C9" s="1">
        <f>SUMIF(Postresultater!$C$2:$C$1000,A9,Postresultater!$D$2:$D$1000)</f>
        <v>92</v>
      </c>
      <c r="D9" s="1">
        <f>15+15+30+30+25+25+20+20+10</f>
        <v>190</v>
      </c>
      <c r="E9" s="3"/>
      <c r="F9" s="1">
        <f t="shared" si="1"/>
        <v>282</v>
      </c>
      <c r="H9" s="4" t="s">
        <v>29</v>
      </c>
      <c r="I9" s="4" t="s">
        <v>30</v>
      </c>
      <c r="J9" s="4" t="s">
        <v>31</v>
      </c>
    </row>
    <row r="10" ht="15.75" customHeight="1">
      <c r="A10" s="1" t="s">
        <v>32</v>
      </c>
      <c r="B10" s="1" t="str">
        <f t="array" ref="B10">IF(A10="", "", INDEX(Postresultater!E:E, MATCH(A10, Postresultater!C:C, 0)))</f>
        <v>Herrelag</v>
      </c>
      <c r="C10" s="1">
        <f>SUMIF(Postresultater!$C$2:$C$1000,A10,Postresultater!$D$2:$D$1000)</f>
        <v>154</v>
      </c>
      <c r="D10" s="1">
        <f>15+25+30+10</f>
        <v>80</v>
      </c>
      <c r="E10" s="3"/>
      <c r="F10" s="1">
        <f t="shared" si="1"/>
        <v>234</v>
      </c>
      <c r="H10" s="5" t="s">
        <v>33</v>
      </c>
      <c r="I10" s="5" t="s">
        <v>34</v>
      </c>
      <c r="J10" s="5" t="s">
        <v>35</v>
      </c>
    </row>
    <row r="11" ht="15.75" customHeight="1">
      <c r="A11" s="1" t="s">
        <v>36</v>
      </c>
      <c r="B11" s="1" t="str">
        <f t="array" ref="B11">IF(A11="", "", INDEX(Postresultater!E:E, MATCH(A11, Postresultater!C:C, 0)))</f>
        <v>Herrelag</v>
      </c>
      <c r="C11" s="1">
        <f>SUMIF(Postresultater!$C$2:$C$1000,A11,Postresultater!$D$2:$D$1000)</f>
        <v>128</v>
      </c>
      <c r="D11" s="1">
        <f>15+15+30+30+25+25+20</f>
        <v>160</v>
      </c>
      <c r="E11" s="3"/>
      <c r="F11" s="1">
        <f t="shared" si="1"/>
        <v>288</v>
      </c>
    </row>
    <row r="12" ht="15.75" customHeight="1">
      <c r="A12" s="1" t="s">
        <v>37</v>
      </c>
      <c r="B12" s="1" t="str">
        <f t="array" ref="B12">IF(A12="", "", INDEX(Postresultater!E:E, MATCH(A12, Postresultater!C:C, 0)))</f>
        <v>Damelag</v>
      </c>
      <c r="C12" s="1">
        <f>SUMIF(Postresultater!$C$2:$C$1000,A12,Postresultater!$D$2:$D$1000)</f>
        <v>194</v>
      </c>
      <c r="D12" s="1">
        <f>15+15+10+10</f>
        <v>50</v>
      </c>
      <c r="E12" s="3"/>
      <c r="F12" s="1">
        <f t="shared" si="1"/>
        <v>244</v>
      </c>
    </row>
    <row r="13" ht="15.75" customHeight="1">
      <c r="A13" s="1" t="s">
        <v>38</v>
      </c>
      <c r="B13" s="1" t="str">
        <f t="array" ref="B13">IF(A13="", "", INDEX(Postresultater!E:E, MATCH(A13, Postresultater!C:C, 0)))</f>
        <v>Damelag</v>
      </c>
      <c r="C13" s="1">
        <f>SUMIF(Postresultater!$C$2:$C$1000,A13,Postresultater!$D$2:$D$1000)</f>
        <v>150</v>
      </c>
      <c r="D13" s="1">
        <f>15+10+20+20+10+15+20+15</f>
        <v>125</v>
      </c>
      <c r="E13" s="3"/>
      <c r="F13" s="1">
        <f t="shared" si="1"/>
        <v>275</v>
      </c>
    </row>
    <row r="14" ht="15.75" customHeight="1">
      <c r="A14" s="1" t="s">
        <v>39</v>
      </c>
      <c r="B14" s="1" t="str">
        <f t="array" ref="B14">IF(A14="", "", INDEX(Postresultater!E:E, MATCH(A14, Postresultater!C:C, 0)))</f>
        <v>Herrelag</v>
      </c>
      <c r="C14" s="1">
        <f>SUMIF(Postresultater!$C$2:$C$1000,A14,Postresultater!$D$2:$D$1000)</f>
        <v>148</v>
      </c>
      <c r="D14" s="1">
        <f>15+15+30+30+25+25+20+10+10+15+15</f>
        <v>210</v>
      </c>
      <c r="E14" s="3"/>
      <c r="F14" s="1">
        <f t="shared" si="1"/>
        <v>358</v>
      </c>
    </row>
    <row r="15" ht="15.75" customHeight="1">
      <c r="A15" s="1" t="s">
        <v>40</v>
      </c>
      <c r="B15" s="1" t="str">
        <f t="array" ref="B15">IF(A15="", "", INDEX(Postresultater!E:E, MATCH(A15, Postresultater!C:C, 0)))</f>
        <v>Mixlag</v>
      </c>
      <c r="C15" s="1">
        <f>SUMIF(Postresultater!$C$2:$C$1000,A15,Postresultater!$D$2:$D$1000)</f>
        <v>220</v>
      </c>
      <c r="D15" s="1">
        <f>20+20+10+15+25+30+15+20+15</f>
        <v>170</v>
      </c>
      <c r="E15" s="3"/>
      <c r="F15" s="1">
        <f t="shared" si="1"/>
        <v>390</v>
      </c>
    </row>
    <row r="16" ht="15.75" customHeight="1">
      <c r="A16" s="1" t="s">
        <v>41</v>
      </c>
      <c r="B16" s="1" t="str">
        <f t="array" ref="B16">IF(A16="", "", INDEX(Postresultater!E:E, MATCH(A16, Postresultater!C:C, 0)))</f>
        <v>Herrelag</v>
      </c>
      <c r="C16" s="1">
        <f>SUMIF(Postresultater!$C$2:$C$1000,A16,Postresultater!$D$2:$D$1000)</f>
        <v>254</v>
      </c>
      <c r="D16" s="1">
        <f>15+30+30+25+25+20+20+20+10+10+15+25+30+15+20+15</f>
        <v>325</v>
      </c>
      <c r="E16" s="3"/>
      <c r="F16" s="1">
        <f t="shared" si="1"/>
        <v>579</v>
      </c>
    </row>
    <row r="17" ht="15.75" customHeight="1">
      <c r="A17" s="1" t="s">
        <v>42</v>
      </c>
      <c r="B17" s="1" t="str">
        <f t="array" ref="B17">IF(A17="", "", INDEX(Postresultater!E:E, MATCH(A17, Postresultater!C:C, 0)))</f>
        <v>Herrelag</v>
      </c>
      <c r="C17" s="1">
        <f>SUMIF(Postresultater!$C$2:$C$1000,A17,Postresultater!$D$2:$D$1000)</f>
        <v>233</v>
      </c>
      <c r="D17" s="1">
        <f>10+15+25+15+15+20</f>
        <v>100</v>
      </c>
      <c r="E17" s="3"/>
      <c r="F17" s="1">
        <f t="shared" si="1"/>
        <v>333</v>
      </c>
    </row>
    <row r="18" ht="15.75" customHeight="1">
      <c r="A18" s="1" t="s">
        <v>43</v>
      </c>
      <c r="B18" s="1" t="str">
        <f t="array" ref="B18">IF(A18="", "", INDEX(Postresultater!E:E, MATCH(A18, Postresultater!C:C, 0)))</f>
        <v>Damelag</v>
      </c>
      <c r="C18" s="1">
        <f>SUMIF(Postresultater!$C$2:$C$1000,A18,Postresultater!$D$2:$D$1000)</f>
        <v>259</v>
      </c>
      <c r="D18" s="1">
        <f>15+15+10+15</f>
        <v>55</v>
      </c>
      <c r="E18" s="3"/>
      <c r="F18" s="1">
        <f t="shared" si="1"/>
        <v>314</v>
      </c>
    </row>
    <row r="19" ht="15.75" customHeight="1">
      <c r="A19" s="1" t="s">
        <v>44</v>
      </c>
      <c r="B19" s="1" t="str">
        <f t="array" ref="B19">IF(A19="", "", INDEX(Postresultater!E:E, MATCH(A19, Postresultater!C:C, 0)))</f>
        <v>Damelag</v>
      </c>
      <c r="C19" s="1">
        <f>SUMIF(Postresultater!$C$2:$C$1000,A19,Postresultater!$D$2:$D$1000)</f>
        <v>59</v>
      </c>
      <c r="D19" s="1">
        <f>30+30+25+25+20+20+20+20+15+25+30</f>
        <v>260</v>
      </c>
      <c r="E19" s="3"/>
      <c r="F19" s="1">
        <f t="shared" si="1"/>
        <v>319</v>
      </c>
    </row>
    <row r="20" ht="15.75" customHeight="1">
      <c r="A20" s="1" t="s">
        <v>45</v>
      </c>
      <c r="B20" s="1" t="str">
        <f t="array" ref="B20">IF(A20="", "", INDEX(Postresultater!E:E, MATCH(A20, Postresultater!C:C, 0)))</f>
        <v>Herrelag</v>
      </c>
      <c r="C20" s="1">
        <f>SUMIF(Postresultater!$C$2:$C$1000,A20,Postresultater!$D$2:$D$1000)</f>
        <v>201</v>
      </c>
      <c r="D20" s="1">
        <f>15+15+20+20+10+15+25+30+15</f>
        <v>165</v>
      </c>
      <c r="E20" s="3"/>
      <c r="F20" s="1">
        <f t="shared" si="1"/>
        <v>366</v>
      </c>
    </row>
    <row r="21" ht="15.75" customHeight="1">
      <c r="A21" s="1" t="s">
        <v>46</v>
      </c>
      <c r="B21" s="1" t="str">
        <f t="array" ref="B21">IF(A21="", "", INDEX(Postresultater!E:E, MATCH(A21, Postresultater!C:C, 0)))</f>
        <v>Damelag</v>
      </c>
      <c r="C21" s="1">
        <f>SUMIF(Postresultater!$C$2:$C$1000,A21,Postresultater!$D$2:$D$1000)</f>
        <v>230</v>
      </c>
      <c r="D21" s="1">
        <f>15+20+25+30+15+20+20+10+15</f>
        <v>170</v>
      </c>
      <c r="E21" s="3"/>
      <c r="F21" s="1">
        <f t="shared" si="1"/>
        <v>400</v>
      </c>
    </row>
    <row r="22" ht="15.75" customHeight="1">
      <c r="A22" s="1" t="s">
        <v>47</v>
      </c>
      <c r="B22" s="1" t="str">
        <f t="array" ref="B22">IF(A22="", "", INDEX(Postresultater!E:E, MATCH(A22, Postresultater!C:C, 0)))</f>
        <v>Damelag</v>
      </c>
      <c r="C22" s="1">
        <f>SUMIF(Postresultater!$C$2:$C$1000,A22,Postresultater!$D$2:$D$1000)</f>
        <v>193</v>
      </c>
      <c r="D22" s="1">
        <f>15+15+25+25+20+10+10</f>
        <v>120</v>
      </c>
      <c r="E22" s="1">
        <f>5</f>
        <v>5</v>
      </c>
      <c r="F22" s="1">
        <f t="shared" si="1"/>
        <v>308</v>
      </c>
    </row>
    <row r="23" ht="15.75" customHeight="1">
      <c r="A23" s="1" t="s">
        <v>48</v>
      </c>
      <c r="B23" s="1" t="str">
        <f t="array" ref="B23">IF(A23="", "", INDEX(Postresultater!E:E, MATCH(A23, Postresultater!C:C, 0)))</f>
        <v>Damelag</v>
      </c>
      <c r="C23" s="1">
        <f>SUMIF(Postresultater!$C$2:$C$1000,A23,Postresultater!$D$2:$D$1000)</f>
        <v>139</v>
      </c>
      <c r="D23" s="1">
        <f>15+15+25+25+20+10+20+20+10+10</f>
        <v>170</v>
      </c>
      <c r="E23" s="3"/>
      <c r="F23" s="1">
        <f t="shared" si="1"/>
        <v>309</v>
      </c>
    </row>
    <row r="24" ht="15.75" customHeight="1">
      <c r="A24" s="1" t="s">
        <v>49</v>
      </c>
      <c r="B24" s="1" t="str">
        <f t="array" ref="B24">IF(A24="", "", INDEX(Postresultater!E:E, MATCH(A24, Postresultater!C:C, 0)))</f>
        <v>Damelag</v>
      </c>
      <c r="C24" s="1">
        <f>SUMIF(Postresultater!$C$2:$C$1000,A24,Postresultater!$D$2:$D$1000)</f>
        <v>178</v>
      </c>
      <c r="D24" s="1">
        <f>10+15+15+10+15</f>
        <v>65</v>
      </c>
      <c r="E24" s="3"/>
      <c r="F24" s="1">
        <f t="shared" si="1"/>
        <v>243</v>
      </c>
    </row>
    <row r="25" ht="15.75" customHeight="1">
      <c r="A25" s="1" t="s">
        <v>50</v>
      </c>
      <c r="B25" s="1" t="str">
        <f t="array" ref="B25">IF(A25="", "", INDEX(Postresultater!E:E, MATCH(A25, Postresultater!C:C, 0)))</f>
        <v>Herrelag</v>
      </c>
      <c r="C25" s="1">
        <f>SUMIF(Postresultater!$C$2:$C$1000,A25,Postresultater!$D$2:$D$1000)</f>
        <v>117</v>
      </c>
      <c r="D25" s="1">
        <f>15+15+30+30+25+25+20+20+15+25+30</f>
        <v>250</v>
      </c>
      <c r="E25" s="3"/>
      <c r="F25" s="1">
        <f t="shared" si="1"/>
        <v>367</v>
      </c>
    </row>
    <row r="26" ht="15.75" customHeight="1">
      <c r="A26" s="1" t="s">
        <v>51</v>
      </c>
      <c r="B26" s="1" t="str">
        <f t="array" ref="B26">IF(A26="", "", INDEX(Postresultater!E:E, MATCH(A26, Postresultater!C:C, 0)))</f>
        <v>Herrelag</v>
      </c>
      <c r="C26" s="1">
        <f>SUMIF(Postresultater!$C$2:$C$1000,A26,Postresultater!$D$2:$D$1000)</f>
        <v>67</v>
      </c>
      <c r="D26" s="1">
        <f>15+15+25+25+20+20+20+10+15+25+30</f>
        <v>220</v>
      </c>
      <c r="E26" s="3"/>
      <c r="F26" s="1">
        <f t="shared" si="1"/>
        <v>287</v>
      </c>
    </row>
    <row r="27" ht="15.75" customHeight="1">
      <c r="A27" s="1" t="s">
        <v>52</v>
      </c>
      <c r="B27" s="1" t="str">
        <f t="array" ref="B27">IF(A27="", "", INDEX(Postresultater!E:E, MATCH(A27, Postresultater!C:C, 0)))</f>
        <v>Damelag</v>
      </c>
      <c r="C27" s="1">
        <f>SUMIF(Postresultater!$C$2:$C$1000,A27,Postresultater!$D$2:$D$1000)</f>
        <v>254</v>
      </c>
      <c r="D27" s="3"/>
      <c r="E27" s="3"/>
      <c r="F27" s="1">
        <f t="shared" si="1"/>
        <v>254</v>
      </c>
    </row>
    <row r="28" ht="15.75" customHeight="1">
      <c r="A28" s="1" t="s">
        <v>53</v>
      </c>
      <c r="B28" s="1" t="str">
        <f t="array" ref="B28">IF(A28="", "", INDEX(Postresultater!E:E, MATCH(A28, Postresultater!C:C, 0)))</f>
        <v>Damelag</v>
      </c>
      <c r="C28" s="1">
        <f>SUMIF(Postresultater!$C$2:$C$1000,A28,Postresultater!$D$2:$D$1000)</f>
        <v>158</v>
      </c>
      <c r="D28" s="1">
        <v>0.0</v>
      </c>
      <c r="E28" s="3"/>
      <c r="F28" s="1">
        <f t="shared" si="1"/>
        <v>158</v>
      </c>
    </row>
    <row r="29" ht="15.75" customHeight="1">
      <c r="A29" s="1" t="s">
        <v>54</v>
      </c>
      <c r="B29" s="1" t="str">
        <f t="array" ref="B29">IF(A29="", "", INDEX(Postresultater!E:E, MATCH(A29, Postresultater!C:C, 0)))</f>
        <v>Damelag</v>
      </c>
      <c r="C29" s="1">
        <f>SUMIF(Postresultater!$C$2:$C$1000,A29,Postresultater!$D$2:$D$1000)</f>
        <v>160</v>
      </c>
      <c r="D29" s="3"/>
      <c r="E29" s="3"/>
      <c r="F29" s="1">
        <f t="shared" si="1"/>
        <v>160</v>
      </c>
    </row>
    <row r="30" ht="15.75" customHeight="1">
      <c r="A30" s="1" t="s">
        <v>55</v>
      </c>
      <c r="B30" s="1" t="str">
        <f t="array" ref="B30">IF(A30="", "", INDEX(Postresultater!E:E, MATCH(A30, Postresultater!C:C, 0)))</f>
        <v>#N/A</v>
      </c>
      <c r="C30" s="1">
        <f>SUMIF(Postresultater!$C$2:$C$1000,A30,Postresultater!$D$2:$D$1000)</f>
        <v>0</v>
      </c>
      <c r="D30" s="3"/>
      <c r="E30" s="3"/>
      <c r="F30" s="1">
        <f t="shared" si="1"/>
        <v>0</v>
      </c>
    </row>
    <row r="31" ht="15.75" customHeight="1">
      <c r="A31" s="1" t="s">
        <v>56</v>
      </c>
      <c r="B31" s="1" t="str">
        <f t="array" ref="B31">IF(A31="", "", INDEX(Postresultater!E:E, MATCH(A31, Postresultater!C:C, 0)))</f>
        <v>Damelag</v>
      </c>
      <c r="C31" s="1">
        <f>SUMIF(Postresultater!$C$2:$C$1000,A31,Postresultater!$D$2:$D$1000)</f>
        <v>60</v>
      </c>
      <c r="D31" s="1">
        <f>30+30+25+25+20+20+10+10</f>
        <v>170</v>
      </c>
      <c r="E31" s="3"/>
      <c r="F31" s="1">
        <f t="shared" si="1"/>
        <v>230</v>
      </c>
    </row>
    <row r="32" ht="15.75" customHeight="1">
      <c r="A32" s="1" t="s">
        <v>57</v>
      </c>
      <c r="B32" s="1" t="str">
        <f t="array" ref="B32">IF(A32="", "", INDEX(Postresultater!E:E, MATCH(A32, Postresultater!C:C, 0)))</f>
        <v>Mixlag</v>
      </c>
      <c r="C32" s="1">
        <f>SUMIF(Postresultater!$C$2:$C$1000,A32,Postresultater!$D$2:$D$1000)</f>
        <v>105</v>
      </c>
      <c r="D32" s="1">
        <f>10+15+15</f>
        <v>40</v>
      </c>
      <c r="E32" s="3"/>
      <c r="F32" s="1">
        <f t="shared" si="1"/>
        <v>145</v>
      </c>
    </row>
    <row r="33" ht="15.75" customHeight="1">
      <c r="A33" s="1" t="s">
        <v>58</v>
      </c>
      <c r="B33" s="1" t="str">
        <f t="array" ref="B33">IF(A33="", "", INDEX(Postresultater!E:E, MATCH(A33, Postresultater!C:C, 0)))</f>
        <v>Damelag</v>
      </c>
      <c r="C33" s="1">
        <f>SUMIF(Postresultater!$C$2:$C$1000,A33,Postresultater!$D$2:$D$1000)</f>
        <v>169</v>
      </c>
      <c r="D33" s="1">
        <f>15+10+20+20+10+10+15+20+15</f>
        <v>135</v>
      </c>
      <c r="E33" s="3"/>
      <c r="F33" s="1">
        <f t="shared" si="1"/>
        <v>304</v>
      </c>
    </row>
    <row r="34" ht="15.75" customHeight="1">
      <c r="A34" s="1" t="s">
        <v>59</v>
      </c>
      <c r="B34" s="1" t="str">
        <f t="array" ref="B34">IF(A34="", "", INDEX(Postresultater!E:E, MATCH(A34, Postresultater!C:C, 0)))</f>
        <v>Herrelag</v>
      </c>
      <c r="C34" s="1">
        <f>SUMIF(Postresultater!$C$2:$C$1000,A34,Postresultater!$D$2:$D$1000)</f>
        <v>174</v>
      </c>
      <c r="D34" s="1">
        <f>15+10+10+10+15+25+30+15+20+15</f>
        <v>165</v>
      </c>
      <c r="E34" s="3"/>
      <c r="F34" s="1">
        <f t="shared" si="1"/>
        <v>339</v>
      </c>
    </row>
    <row r="35" ht="15.75" customHeight="1">
      <c r="A35" s="1" t="s">
        <v>60</v>
      </c>
      <c r="B35" s="1" t="str">
        <f t="array" ref="B35">IF(A35="", "", INDEX(Postresultater!E:E, MATCH(A35, Postresultater!C:C, 0)))</f>
        <v>Damelag</v>
      </c>
      <c r="C35" s="1">
        <f>SUMIF(Postresultater!$C$2:$C$1000,A35,Postresultater!$D$2:$D$1000)</f>
        <v>212</v>
      </c>
      <c r="D35" s="1">
        <f>25+25+20+10+10+15+15</f>
        <v>120</v>
      </c>
      <c r="E35" s="3"/>
      <c r="F35" s="1">
        <f t="shared" si="1"/>
        <v>332</v>
      </c>
    </row>
    <row r="36" ht="15.75" customHeight="1">
      <c r="A36" s="1" t="s">
        <v>61</v>
      </c>
      <c r="B36" s="1" t="str">
        <f t="array" ref="B36">IF(A36="", "", INDEX(Postresultater!E:E, MATCH(A36, Postresultater!C:C, 0)))</f>
        <v>Damelag</v>
      </c>
      <c r="C36" s="1">
        <f>SUMIF(Postresultater!$C$2:$C$1000,A36,Postresultater!$D$2:$D$1000)</f>
        <v>183</v>
      </c>
      <c r="D36" s="1">
        <f>15+15+30+30+25+25+20+20+20+10+15+15</f>
        <v>240</v>
      </c>
      <c r="E36" s="3"/>
      <c r="F36" s="1">
        <f t="shared" si="1"/>
        <v>423</v>
      </c>
    </row>
    <row r="37" ht="15.75" customHeight="1">
      <c r="A37" s="1" t="s">
        <v>62</v>
      </c>
      <c r="B37" s="1" t="str">
        <f t="array" ref="B37">IF(A37="", "", INDEX(Postresultater!E:E, MATCH(A37, Postresultater!C:C, 0)))</f>
        <v>Herrelag</v>
      </c>
      <c r="C37" s="1">
        <f>SUMIF(Postresultater!$C$2:$C$1000,A37,Postresultater!$D$2:$D$1000)</f>
        <v>87</v>
      </c>
      <c r="D37" s="1">
        <f>15+15+30+30+25+25+20+10</f>
        <v>170</v>
      </c>
      <c r="E37" s="3"/>
      <c r="F37" s="1">
        <f t="shared" si="1"/>
        <v>257</v>
      </c>
    </row>
    <row r="38" ht="15.75" customHeight="1">
      <c r="A38" s="1" t="s">
        <v>63</v>
      </c>
      <c r="B38" s="1" t="str">
        <f t="array" ref="B38">IF(A38="", "", INDEX(Postresultater!E:E, MATCH(A38, Postresultater!C:C, 0)))</f>
        <v>Herrelag</v>
      </c>
      <c r="C38" s="1">
        <f>SUMIF(Postresultater!$C$2:$C$1000,A38,Postresultater!$D$2:$D$1000)</f>
        <v>222</v>
      </c>
      <c r="D38" s="1">
        <f>20+20+10+15+20+15</f>
        <v>100</v>
      </c>
      <c r="E38" s="3"/>
      <c r="F38" s="1">
        <f t="shared" si="1"/>
        <v>322</v>
      </c>
    </row>
    <row r="39" ht="15.75" customHeight="1">
      <c r="A39" s="1" t="s">
        <v>64</v>
      </c>
      <c r="B39" s="1" t="str">
        <f t="array" ref="B39">IF(A39="", "", INDEX(Postresultater!E:E, MATCH(A39, Postresultater!C:C, 0)))</f>
        <v>Damelag</v>
      </c>
      <c r="C39" s="1">
        <f>SUMIF(Postresultater!$C$2:$C$1000,A39,Postresultater!$D$2:$D$1000)</f>
        <v>145</v>
      </c>
      <c r="D39" s="1">
        <f>10+11+10</f>
        <v>31</v>
      </c>
      <c r="E39" s="3"/>
      <c r="F39" s="1">
        <f t="shared" si="1"/>
        <v>176</v>
      </c>
    </row>
    <row r="40" ht="15.75" customHeight="1">
      <c r="A40" s="1" t="s">
        <v>65</v>
      </c>
      <c r="B40" s="1" t="str">
        <f t="array" ref="B40">IF(A40="", "", INDEX(Postresultater!E:E, MATCH(A40, Postresultater!C:C, 0)))</f>
        <v>Herrelag</v>
      </c>
      <c r="C40" s="1">
        <f>SUMIF(Postresultater!$C$2:$C$1000,A40,Postresultater!$D$2:$D$1000)</f>
        <v>224</v>
      </c>
      <c r="D40" s="1">
        <f>20+20+10+15</f>
        <v>65</v>
      </c>
      <c r="E40" s="3"/>
      <c r="F40" s="1">
        <f t="shared" si="1"/>
        <v>289</v>
      </c>
    </row>
    <row r="41" ht="15.75" customHeight="1">
      <c r="A41" s="1" t="s">
        <v>66</v>
      </c>
      <c r="B41" s="1" t="str">
        <f t="array" ref="B41">IF(A41="", "", INDEX(Postresultater!E:E, MATCH(A41, Postresultater!C:C, 0)))</f>
        <v>Damelag</v>
      </c>
      <c r="C41" s="1">
        <f>SUMIF(Postresultater!$C$2:$C$1000,A41,Postresultater!$D$2:$D$1000)</f>
        <v>101</v>
      </c>
      <c r="D41" s="1">
        <v>0.0</v>
      </c>
      <c r="E41" s="3"/>
      <c r="F41" s="1">
        <f t="shared" si="1"/>
        <v>101</v>
      </c>
    </row>
    <row r="42" ht="15.75" customHeight="1">
      <c r="A42" s="1" t="s">
        <v>67</v>
      </c>
      <c r="B42" s="1" t="str">
        <f t="array" ref="B42">IF(A42="", "", INDEX(Postresultater!E:E, MATCH(A42, Postresultater!C:C, 0)))</f>
        <v>Mixlag</v>
      </c>
      <c r="C42" s="1">
        <f>SUMIF(Postresultater!$C$2:$C$1000,A42,Postresultater!$D$2:$D$1000)</f>
        <v>246</v>
      </c>
      <c r="D42" s="1">
        <f>10+10+15+15+20+15</f>
        <v>85</v>
      </c>
      <c r="E42" s="3"/>
      <c r="F42" s="1">
        <f t="shared" si="1"/>
        <v>331</v>
      </c>
    </row>
    <row r="43" ht="15.75" customHeight="1">
      <c r="A43" s="1" t="s">
        <v>68</v>
      </c>
      <c r="B43" s="1" t="str">
        <f t="array" ref="B43">IF(A43="", "", INDEX(Postresultater!E:E, MATCH(A43, Postresultater!C:C, 0)))</f>
        <v>Damelag</v>
      </c>
      <c r="C43" s="1">
        <f>SUMIF(Postresultater!$C$2:$C$1000,A43,Postresultater!$D$2:$D$1000)</f>
        <v>106</v>
      </c>
      <c r="D43" s="1">
        <v>0.0</v>
      </c>
      <c r="E43" s="3"/>
      <c r="F43" s="1">
        <f t="shared" si="1"/>
        <v>106</v>
      </c>
    </row>
    <row r="44" ht="15.75" customHeight="1">
      <c r="A44" s="1" t="s">
        <v>69</v>
      </c>
      <c r="B44" s="1" t="str">
        <f t="array" ref="B44">IF(A44="", "", INDEX(Postresultater!E:E, MATCH(A44, Postresultater!C:C, 0)))</f>
        <v>#N/A</v>
      </c>
      <c r="C44" s="1">
        <f>SUMIF(Postresultater!$C$2:$C$1000,A44,Postresultater!$D$2:$D$1000)</f>
        <v>0</v>
      </c>
      <c r="D44" s="3"/>
      <c r="E44" s="3"/>
      <c r="F44" s="1">
        <f t="shared" si="1"/>
        <v>0</v>
      </c>
    </row>
    <row r="45" ht="15.75" customHeight="1">
      <c r="A45" s="1" t="s">
        <v>70</v>
      </c>
      <c r="B45" s="1" t="str">
        <f t="array" ref="B45">IF(A45="", "", INDEX(Postresultater!E:E, MATCH(A45, Postresultater!C:C, 0)))</f>
        <v>Damelag</v>
      </c>
      <c r="C45" s="1">
        <f>SUMIF(Postresultater!$C$2:$C$1000,A45,Postresultater!$D$2:$D$1000)</f>
        <v>84</v>
      </c>
      <c r="D45" s="1">
        <f>25+25+20+20+20+10+10+15+25+30+15+20+15</f>
        <v>250</v>
      </c>
      <c r="E45" s="3"/>
      <c r="F45" s="1">
        <f t="shared" si="1"/>
        <v>334</v>
      </c>
    </row>
    <row r="46" ht="15.75" customHeight="1">
      <c r="A46" s="1" t="s">
        <v>71</v>
      </c>
      <c r="B46" s="1" t="str">
        <f t="array" ref="B46">IF(A46="", "", INDEX(Postresultater!E:E, MATCH(A46, Postresultater!C:C, 0)))</f>
        <v>Damelag</v>
      </c>
      <c r="C46" s="1">
        <f>SUMIF(Postresultater!$C$2:$C$1000,A46,Postresultater!$D$2:$D$1000)</f>
        <v>160</v>
      </c>
      <c r="D46" s="1">
        <f>10+10+15+25+30+15+20+15</f>
        <v>140</v>
      </c>
      <c r="E46" s="3"/>
      <c r="F46" s="1">
        <f t="shared" si="1"/>
        <v>300</v>
      </c>
    </row>
    <row r="47" ht="15.75" customHeight="1">
      <c r="A47" s="1" t="s">
        <v>72</v>
      </c>
      <c r="B47" s="1" t="str">
        <f t="array" ref="B47">IF(A47="", "", INDEX(Postresultater!E:E, MATCH(A47, Postresultater!C:C, 0)))</f>
        <v>Mixlag</v>
      </c>
      <c r="C47" s="1">
        <f>SUMIF(Postresultater!$C$2:$C$1000,A47,Postresultater!$D$2:$D$1000)</f>
        <v>75</v>
      </c>
      <c r="D47" s="1">
        <f>15+15+30+25+25+20</f>
        <v>130</v>
      </c>
      <c r="E47" s="3"/>
      <c r="F47" s="1">
        <f t="shared" si="1"/>
        <v>205</v>
      </c>
    </row>
    <row r="48" ht="15.75" customHeight="1">
      <c r="A48" s="1" t="s">
        <v>73</v>
      </c>
      <c r="B48" s="1" t="str">
        <f t="array" ref="B48">IF(A48="", "", INDEX(Postresultater!E:E, MATCH(A48, Postresultater!C:C, 0)))</f>
        <v>Mixlag</v>
      </c>
      <c r="C48" s="1">
        <f>SUMIF(Postresultater!$C$2:$C$1000,A48,Postresultater!$D$2:$D$1000)</f>
        <v>123</v>
      </c>
      <c r="D48" s="1">
        <f>15+15+30+30+25+25+20+10+10</f>
        <v>180</v>
      </c>
      <c r="E48" s="3"/>
      <c r="F48" s="1">
        <f t="shared" si="1"/>
        <v>303</v>
      </c>
    </row>
    <row r="49" ht="15.75" customHeight="1">
      <c r="A49" s="1" t="s">
        <v>74</v>
      </c>
      <c r="B49" s="1" t="str">
        <f t="array" ref="B49">IF(A49="", "", INDEX(Postresultater!E:E, MATCH(A49, Postresultater!C:C, 0)))</f>
        <v>Damelag</v>
      </c>
      <c r="C49" s="1">
        <f>SUMIF(Postresultater!$C$2:$C$1000,A49,Postresultater!$D$2:$D$1000)</f>
        <v>252</v>
      </c>
      <c r="D49" s="1">
        <f>10+10+10+15</f>
        <v>45</v>
      </c>
      <c r="E49" s="3"/>
      <c r="F49" s="1">
        <f t="shared" si="1"/>
        <v>297</v>
      </c>
    </row>
    <row r="50" ht="15.75" customHeight="1">
      <c r="A50" s="1" t="s">
        <v>75</v>
      </c>
      <c r="B50" s="1" t="str">
        <f t="array" ref="B50">IF(A50="", "", INDEX(Postresultater!E:E, MATCH(A50, Postresultater!C:C, 0)))</f>
        <v>Damelag</v>
      </c>
      <c r="C50" s="1">
        <f>SUMIF(Postresultater!$C$2:$C$1000,A50,Postresultater!$D$2:$D$1000)</f>
        <v>222</v>
      </c>
      <c r="D50" s="1">
        <f>25+25+20</f>
        <v>70</v>
      </c>
      <c r="E50" s="3"/>
      <c r="F50" s="1">
        <f t="shared" si="1"/>
        <v>292</v>
      </c>
    </row>
    <row r="51" ht="15.75" customHeight="1">
      <c r="A51" s="1" t="s">
        <v>76</v>
      </c>
      <c r="B51" s="1" t="str">
        <f t="array" ref="B51">IF(A51="", "", INDEX(Postresultater!E:E, MATCH(A51, Postresultater!C:C, 0)))</f>
        <v>Herrelag</v>
      </c>
      <c r="C51" s="1">
        <f>SUMIF(Postresultater!$C$2:$C$1000,A51,Postresultater!$D$2:$D$1000)</f>
        <v>64</v>
      </c>
      <c r="D51" s="1">
        <f>15+30+30+25+25+20+10+10+15+25+30</f>
        <v>235</v>
      </c>
      <c r="E51" s="3"/>
      <c r="F51" s="1">
        <f t="shared" si="1"/>
        <v>299</v>
      </c>
    </row>
    <row r="52" ht="15.75" customHeight="1">
      <c r="A52" s="1" t="s">
        <v>77</v>
      </c>
      <c r="B52" s="1" t="str">
        <f t="array" ref="B52">IF(A52="", "", INDEX(Postresultater!E:E, MATCH(A52, Postresultater!C:C, 0)))</f>
        <v>Mixlag</v>
      </c>
      <c r="C52" s="1">
        <f>SUMIF(Postresultater!$C$2:$C$1000,A52,Postresultater!$D$2:$D$1000)</f>
        <v>244</v>
      </c>
      <c r="D52" s="1">
        <f>15+10+10</f>
        <v>35</v>
      </c>
      <c r="E52" s="3"/>
      <c r="F52" s="1">
        <f t="shared" si="1"/>
        <v>279</v>
      </c>
    </row>
    <row r="53" ht="15.75" customHeight="1">
      <c r="A53" s="1" t="s">
        <v>78</v>
      </c>
      <c r="B53" s="1" t="str">
        <f t="array" ref="B53">IF(A53="", "", INDEX(Postresultater!E:E, MATCH(A53, Postresultater!C:C, 0)))</f>
        <v>#N/A</v>
      </c>
      <c r="C53" s="1">
        <f>SUMIF(Postresultater!$C$2:$C$1000,A53,Postresultater!$D$2:$D$1000)</f>
        <v>0</v>
      </c>
      <c r="D53" s="3"/>
      <c r="E53" s="3"/>
      <c r="F53" s="1">
        <f t="shared" si="1"/>
        <v>0</v>
      </c>
    </row>
    <row r="54" ht="15.75" customHeight="1">
      <c r="A54" s="1" t="s">
        <v>79</v>
      </c>
      <c r="B54" s="1" t="str">
        <f t="array" ref="B54">IF(A54="", "", INDEX(Postresultater!E:E, MATCH(A54, Postresultater!C:C, 0)))</f>
        <v>Damelag</v>
      </c>
      <c r="C54" s="1">
        <f>SUMIF(Postresultater!$C$2:$C$1000,A54,Postresultater!$D$2:$D$1000)</f>
        <v>287</v>
      </c>
      <c r="D54" s="1">
        <f>10</f>
        <v>10</v>
      </c>
      <c r="E54" s="3"/>
      <c r="F54" s="1">
        <f t="shared" si="1"/>
        <v>297</v>
      </c>
    </row>
    <row r="55" ht="15.75" customHeight="1">
      <c r="A55" s="1" t="s">
        <v>80</v>
      </c>
      <c r="B55" s="1" t="str">
        <f t="array" ref="B55">IF(A55="", "", INDEX(Postresultater!E:E, MATCH(A55, Postresultater!C:C, 0)))</f>
        <v>Damelag</v>
      </c>
      <c r="C55" s="1">
        <f>SUMIF(Postresultater!$C$2:$C$1000,A55,Postresultater!$D$2:$D$1000)</f>
        <v>105</v>
      </c>
      <c r="D55" s="1">
        <f>15+15+30</f>
        <v>60</v>
      </c>
      <c r="E55" s="3"/>
      <c r="F55" s="1">
        <f t="shared" si="1"/>
        <v>165</v>
      </c>
    </row>
    <row r="56" ht="15.75" customHeight="1">
      <c r="A56" s="1" t="s">
        <v>81</v>
      </c>
      <c r="B56" s="1" t="str">
        <f t="array" ref="B56">IF(A56="", "", INDEX(Postresultater!E:E, MATCH(A56, Postresultater!C:C, 0)))</f>
        <v>Damelag</v>
      </c>
      <c r="C56" s="1">
        <f>SUMIF(Postresultater!$C$2:$C$1000,A56,Postresultater!$D$2:$D$1000)</f>
        <v>256</v>
      </c>
      <c r="D56" s="1">
        <f>15+10+10+10</f>
        <v>45</v>
      </c>
      <c r="E56" s="3"/>
      <c r="F56" s="1">
        <f t="shared" si="1"/>
        <v>301</v>
      </c>
    </row>
    <row r="57" ht="15.75" customHeight="1">
      <c r="A57" s="1" t="s">
        <v>82</v>
      </c>
      <c r="B57" s="1" t="str">
        <f t="array" ref="B57">IF(A57="", "", INDEX(Postresultater!E:E, MATCH(A57, Postresultater!C:C, 0)))</f>
        <v>Mixlag</v>
      </c>
      <c r="C57" s="1">
        <f>SUMIF(Postresultater!$C$2:$C$1000,A57,Postresultater!$D$2:$D$1000)</f>
        <v>102</v>
      </c>
      <c r="D57" s="1">
        <f>15+30+30+25+20</f>
        <v>120</v>
      </c>
      <c r="E57" s="3"/>
      <c r="F57" s="1">
        <f t="shared" si="1"/>
        <v>222</v>
      </c>
    </row>
    <row r="58" ht="15.75" customHeight="1">
      <c r="A58" s="1" t="s">
        <v>83</v>
      </c>
      <c r="B58" s="1" t="str">
        <f t="array" ref="B58">IF(A58="", "", INDEX(Postresultater!E:E, MATCH(A58, Postresultater!C:C, 0)))</f>
        <v>Mixlag</v>
      </c>
      <c r="C58" s="1">
        <f>SUMIF(Postresultater!$C$2:$C$1000,A58,Postresultater!$D$2:$D$1000)</f>
        <v>16</v>
      </c>
      <c r="D58" s="3"/>
      <c r="E58" s="3"/>
      <c r="F58" s="1">
        <f t="shared" si="1"/>
        <v>16</v>
      </c>
    </row>
    <row r="59" ht="15.75" customHeight="1">
      <c r="A59" s="1" t="s">
        <v>84</v>
      </c>
      <c r="B59" s="1" t="str">
        <f t="array" ref="B59">IF(A59="", "", INDEX(Postresultater!E:E, MATCH(A59, Postresultater!C:C, 0)))</f>
        <v>#N/A</v>
      </c>
      <c r="C59" s="1">
        <f>SUMIF(Postresultater!$C$2:$C$1000,A59,Postresultater!$D$2:$D$1000)</f>
        <v>0</v>
      </c>
      <c r="D59" s="3"/>
      <c r="E59" s="3"/>
      <c r="F59" s="1">
        <f t="shared" si="1"/>
        <v>0</v>
      </c>
    </row>
    <row r="60" ht="15.75" customHeight="1">
      <c r="A60" s="1" t="s">
        <v>85</v>
      </c>
      <c r="B60" s="1" t="str">
        <f t="array" ref="B60">IF(A60="", "", INDEX(Postresultater!E:E, MATCH(A60, Postresultater!C:C, 0)))</f>
        <v>Damelag</v>
      </c>
      <c r="C60" s="1">
        <f>SUMIF(Postresultater!$C$2:$C$1000,A60,Postresultater!$D$2:$D$1000)</f>
        <v>216</v>
      </c>
      <c r="D60" s="1">
        <v>0.0</v>
      </c>
      <c r="E60" s="3"/>
      <c r="F60" s="1">
        <f t="shared" si="1"/>
        <v>216</v>
      </c>
    </row>
    <row r="61" ht="15.75" customHeight="1">
      <c r="A61" s="1" t="s">
        <v>86</v>
      </c>
      <c r="B61" s="1" t="str">
        <f t="array" ref="B61">IF(A61="", "", INDEX(Postresultater!E:E, MATCH(A61, Postresultater!C:C, 0)))</f>
        <v>Herrelag</v>
      </c>
      <c r="C61" s="1">
        <f>SUMIF(Postresultater!$C$2:$C$1000,A61,Postresultater!$D$2:$D$1000)</f>
        <v>98</v>
      </c>
      <c r="D61" s="1">
        <f>30+30+25+25+20+10+10</f>
        <v>150</v>
      </c>
      <c r="E61" s="3"/>
      <c r="F61" s="1">
        <f t="shared" si="1"/>
        <v>248</v>
      </c>
    </row>
    <row r="62" ht="15.75" customHeight="1">
      <c r="A62" s="1" t="s">
        <v>87</v>
      </c>
      <c r="B62" s="1" t="str">
        <f t="array" ref="B62">IF(A62="", "", INDEX(Postresultater!E:E, MATCH(A62, Postresultater!C:C, 0)))</f>
        <v>Herrelag</v>
      </c>
      <c r="C62" s="1">
        <f>SUMIF(Postresultater!$C$2:$C$1000,A62,Postresultater!$D$2:$D$1000)</f>
        <v>220</v>
      </c>
      <c r="D62" s="1">
        <f>10+15+25+30+15+20+15</f>
        <v>130</v>
      </c>
      <c r="E62" s="3"/>
      <c r="F62" s="1">
        <f t="shared" si="1"/>
        <v>350</v>
      </c>
    </row>
    <row r="63" ht="15.75" customHeight="1">
      <c r="A63" s="1" t="s">
        <v>88</v>
      </c>
      <c r="B63" s="1" t="str">
        <f t="array" ref="B63">IF(A63="", "", INDEX(Postresultater!E:E, MATCH(A63, Postresultater!C:C, 0)))</f>
        <v>Mixlag</v>
      </c>
      <c r="C63" s="1">
        <f>SUMIF(Postresultater!$C$2:$C$1000,A63,Postresultater!$D$2:$D$1000)</f>
        <v>137</v>
      </c>
      <c r="D63" s="1">
        <f>62+10+10+15+25+30+15+20+15</f>
        <v>202</v>
      </c>
      <c r="E63" s="3"/>
      <c r="F63" s="1">
        <f t="shared" si="1"/>
        <v>339</v>
      </c>
    </row>
    <row r="64" ht="15.75" customHeight="1">
      <c r="A64" s="1" t="s">
        <v>89</v>
      </c>
      <c r="B64" s="1" t="str">
        <f t="array" ref="B64">IF(A64="", "", INDEX(Postresultater!E:E, MATCH(A64, Postresultater!C:C, 0)))</f>
        <v>Mixlag</v>
      </c>
      <c r="C64" s="1">
        <f>SUMIF(Postresultater!$C$2:$C$1000,A64,Postresultater!$D$2:$D$1000)</f>
        <v>117</v>
      </c>
      <c r="D64" s="1">
        <f>15+15+30+30+25+25+20+10+20+15</f>
        <v>205</v>
      </c>
      <c r="E64" s="3"/>
      <c r="F64" s="1">
        <f t="shared" si="1"/>
        <v>322</v>
      </c>
    </row>
    <row r="65" ht="15.75" customHeight="1">
      <c r="A65" s="1" t="s">
        <v>90</v>
      </c>
      <c r="B65" s="1" t="str">
        <f t="array" ref="B65">IF(A65="", "", INDEX(Postresultater!E:E, MATCH(A65, Postresultater!C:C, 0)))</f>
        <v>Damelag</v>
      </c>
      <c r="C65" s="1">
        <f>SUMIF(Postresultater!$C$2:$C$1000,A65,Postresultater!$D$2:$D$1000)</f>
        <v>40</v>
      </c>
      <c r="D65" s="1">
        <f>15+15+30+30+25+25+20+10+10</f>
        <v>180</v>
      </c>
      <c r="E65" s="3"/>
      <c r="F65" s="1">
        <f t="shared" si="1"/>
        <v>220</v>
      </c>
    </row>
    <row r="66" ht="15.75" customHeight="1">
      <c r="A66" s="1" t="s">
        <v>91</v>
      </c>
      <c r="B66" s="1" t="str">
        <f t="array" ref="B66">IF(A66="", "", INDEX(Postresultater!E:E, MATCH(A66, Postresultater!C:C, 0)))</f>
        <v>Mixlag</v>
      </c>
      <c r="C66" s="1">
        <f>SUMIF(Postresultater!$C$2:$C$1000,A66,Postresultater!$D$2:$D$1000)</f>
        <v>174</v>
      </c>
      <c r="D66" s="1">
        <f>15+15+20+20+10+10</f>
        <v>90</v>
      </c>
      <c r="E66" s="3"/>
      <c r="F66" s="1">
        <f t="shared" si="1"/>
        <v>264</v>
      </c>
    </row>
    <row r="67" ht="15.75" customHeight="1">
      <c r="A67" s="1" t="s">
        <v>92</v>
      </c>
      <c r="B67" s="1" t="str">
        <f t="array" ref="B67">IF(A67="", "", INDEX(Postresultater!E:E, MATCH(A67, Postresultater!C:C, 0)))</f>
        <v>Damelag</v>
      </c>
      <c r="C67" s="1">
        <f>SUMIF(Postresultater!$C$2:$C$1000,A67,Postresultater!$D$2:$D$1000)</f>
        <v>135</v>
      </c>
      <c r="D67" s="1">
        <f>15+15+10</f>
        <v>40</v>
      </c>
      <c r="E67" s="3"/>
      <c r="F67" s="1">
        <f t="shared" si="1"/>
        <v>175</v>
      </c>
    </row>
    <row r="68" ht="15.75" customHeight="1">
      <c r="A68" s="1" t="s">
        <v>93</v>
      </c>
      <c r="B68" s="1" t="str">
        <f t="array" ref="B68">IF(A68="", "", INDEX(Postresultater!E:E, MATCH(A68, Postresultater!C:C, 0)))</f>
        <v>Damelag</v>
      </c>
      <c r="C68" s="1">
        <f>SUMIF(Postresultater!$C$2:$C$1000,A68,Postresultater!$D$2:$D$1000)</f>
        <v>252</v>
      </c>
      <c r="D68" s="1">
        <f>10+30+15</f>
        <v>55</v>
      </c>
      <c r="E68" s="3"/>
      <c r="F68" s="1">
        <f t="shared" si="1"/>
        <v>307</v>
      </c>
    </row>
    <row r="69" ht="15.75" customHeight="1">
      <c r="A69" s="1" t="s">
        <v>94</v>
      </c>
      <c r="B69" s="1" t="str">
        <f t="array" ref="B69">IF(A69="", "", INDEX(Postresultater!E:E, MATCH(A69, Postresultater!C:C, 0)))</f>
        <v>Herrelag</v>
      </c>
      <c r="C69" s="1">
        <f>SUMIF(Postresultater!$C$2:$C$1000,A69,Postresultater!$D$2:$D$1000)</f>
        <v>197</v>
      </c>
      <c r="D69" s="1">
        <f>10</f>
        <v>10</v>
      </c>
      <c r="E69" s="3"/>
      <c r="F69" s="1">
        <f t="shared" si="1"/>
        <v>207</v>
      </c>
    </row>
    <row r="70" ht="15.75" customHeight="1">
      <c r="A70" s="1" t="s">
        <v>95</v>
      </c>
      <c r="B70" s="1" t="str">
        <f t="array" ref="B70">IF(A70="", "", INDEX(Postresultater!E:E, MATCH(A70, Postresultater!C:C, 0)))</f>
        <v>Herrelag</v>
      </c>
      <c r="C70" s="1">
        <f>SUMIF(Postresultater!$C$2:$C$1000,A70,Postresultater!$D$2:$D$1000)</f>
        <v>77</v>
      </c>
      <c r="D70" s="1">
        <f>15+15+15+25+30+15+20+15</f>
        <v>150</v>
      </c>
      <c r="E70" s="3"/>
      <c r="F70" s="1">
        <f t="shared" si="1"/>
        <v>227</v>
      </c>
    </row>
    <row r="71" ht="15.75" customHeight="1">
      <c r="A71" s="1" t="s">
        <v>96</v>
      </c>
      <c r="B71" s="1" t="str">
        <f t="array" ref="B71">IF(A71="", "", INDEX(Postresultater!E:E, MATCH(A71, Postresultater!C:C, 0)))</f>
        <v>Mixlag</v>
      </c>
      <c r="C71" s="1">
        <f>SUMIF(Postresultater!$C$2:$C$1000,A71,Postresultater!$D$2:$D$1000)</f>
        <v>127</v>
      </c>
      <c r="D71" s="1">
        <f>15+15+25+25+20+20+20+10+10</f>
        <v>160</v>
      </c>
      <c r="E71" s="3"/>
      <c r="F71" s="1">
        <f t="shared" si="1"/>
        <v>287</v>
      </c>
    </row>
    <row r="72" ht="15.75" customHeight="1">
      <c r="A72" s="1" t="s">
        <v>97</v>
      </c>
      <c r="B72" s="1" t="str">
        <f t="array" ref="B72">IF(A72="", "", INDEX(Postresultater!E:E, MATCH(A72, Postresultater!C:C, 0)))</f>
        <v>Mixlag</v>
      </c>
      <c r="C72" s="1">
        <f>SUMIF(Postresultater!$C$2:$C$1000,A72,Postresultater!$D$2:$D$1000)</f>
        <v>137</v>
      </c>
      <c r="D72" s="1">
        <f>20+20+10+10+15+15</f>
        <v>90</v>
      </c>
      <c r="E72" s="3"/>
      <c r="F72" s="1">
        <f t="shared" si="1"/>
        <v>227</v>
      </c>
    </row>
    <row r="73" ht="15.75" customHeight="1">
      <c r="A73" s="1" t="s">
        <v>98</v>
      </c>
      <c r="B73" s="1" t="str">
        <f t="array" ref="B73">IF(A73="", "", INDEX(Postresultater!E:E, MATCH(A73, Postresultater!C:C, 0)))</f>
        <v>Herrelag</v>
      </c>
      <c r="C73" s="1">
        <f>SUMIF(Postresultater!$C$2:$C$1000,A73,Postresultater!$D$2:$D$1000)</f>
        <v>333</v>
      </c>
      <c r="D73" s="1">
        <f>10+10+15</f>
        <v>35</v>
      </c>
      <c r="E73" s="3"/>
      <c r="F73" s="1">
        <f t="shared" si="1"/>
        <v>368</v>
      </c>
    </row>
    <row r="74" ht="15.75" customHeight="1">
      <c r="A74" s="1" t="s">
        <v>99</v>
      </c>
      <c r="B74" s="1" t="str">
        <f t="array" ref="B74">IF(A74="", "", INDEX(Postresultater!E:E, MATCH(A74, Postresultater!C:C, 0)))</f>
        <v>Mixlag</v>
      </c>
      <c r="C74" s="1">
        <f>SUMIF(Postresultater!$C$2:$C$1000,A74,Postresultater!$D$2:$D$1000)</f>
        <v>195</v>
      </c>
      <c r="D74" s="1">
        <f>15+15+30+30+25+25+20+10+10+15</f>
        <v>195</v>
      </c>
      <c r="E74" s="3"/>
      <c r="F74" s="1">
        <f t="shared" si="1"/>
        <v>390</v>
      </c>
    </row>
    <row r="75" ht="15.75" customHeight="1">
      <c r="A75" s="1" t="s">
        <v>100</v>
      </c>
      <c r="B75" s="1" t="str">
        <f t="array" ref="B75">IF(A75="", "", INDEX(Postresultater!E:E, MATCH(A75, Postresultater!C:C, 0)))</f>
        <v>Damelag</v>
      </c>
      <c r="C75" s="1">
        <f>SUMIF(Postresultater!$C$2:$C$1000,A75,Postresultater!$D$2:$D$1000)</f>
        <v>181</v>
      </c>
      <c r="D75" s="1">
        <f>15+15+10+10+15</f>
        <v>65</v>
      </c>
      <c r="E75" s="3"/>
      <c r="F75" s="1">
        <f t="shared" si="1"/>
        <v>246</v>
      </c>
    </row>
    <row r="76" ht="15.75" customHeight="1">
      <c r="A76" s="1" t="s">
        <v>101</v>
      </c>
      <c r="B76" s="1" t="str">
        <f t="array" ref="B76">IF(A76="", "", INDEX(Postresultater!E:E, MATCH(A76, Postresultater!C:C, 0)))</f>
        <v>Herrelag</v>
      </c>
      <c r="C76" s="1">
        <f>SUMIF(Postresultater!$C$2:$C$1000,A76,Postresultater!$D$2:$D$1000)</f>
        <v>212</v>
      </c>
      <c r="D76" s="1">
        <f>20+20+10+15+25+30+15+20+15</f>
        <v>170</v>
      </c>
      <c r="E76" s="3"/>
      <c r="F76" s="1">
        <f t="shared" si="1"/>
        <v>382</v>
      </c>
    </row>
    <row r="77" ht="15.75" customHeight="1">
      <c r="A77" s="1" t="s">
        <v>102</v>
      </c>
      <c r="B77" s="1" t="str">
        <f t="array" ref="B77">IF(A77="", "", INDEX(Postresultater!E:E, MATCH(A77, Postresultater!C:C, 0)))</f>
        <v>Mixlag</v>
      </c>
      <c r="C77" s="1">
        <f>SUMIF(Postresultater!$C$2:$C$1000,A77,Postresultater!$D$2:$D$1000)</f>
        <v>286</v>
      </c>
      <c r="D77" s="1">
        <f>10</f>
        <v>10</v>
      </c>
      <c r="E77" s="3"/>
      <c r="F77" s="1">
        <f t="shared" si="1"/>
        <v>296</v>
      </c>
    </row>
    <row r="78" ht="15.75" customHeight="1">
      <c r="A78" s="1" t="s">
        <v>103</v>
      </c>
      <c r="B78" s="1" t="str">
        <f t="array" ref="B78">IF(A78="", "", INDEX(Postresultater!E:E, MATCH(A78, Postresultater!C:C, 0)))</f>
        <v>Mixlag</v>
      </c>
      <c r="C78" s="1">
        <f>SUMIF(Postresultater!$C$2:$C$1000,A78,Postresultater!$D$2:$D$1000)</f>
        <v>197</v>
      </c>
      <c r="D78" s="1">
        <f>0</f>
        <v>0</v>
      </c>
      <c r="E78" s="3"/>
      <c r="F78" s="1">
        <f t="shared" si="1"/>
        <v>197</v>
      </c>
    </row>
    <row r="79" ht="15.75" customHeight="1">
      <c r="A79" s="1" t="s">
        <v>104</v>
      </c>
      <c r="B79" s="1" t="str">
        <f t="array" ref="B79">IF(A79="", "", INDEX(Postresultater!E:E, MATCH(A79, Postresultater!C:C, 0)))</f>
        <v>Damelag</v>
      </c>
      <c r="C79" s="1">
        <f>SUMIF(Postresultater!$C$2:$C$1000,A79,Postresultater!$D$2:$D$1000)</f>
        <v>236</v>
      </c>
      <c r="D79" s="1">
        <f>15+15+10+15+20</f>
        <v>75</v>
      </c>
      <c r="E79" s="3"/>
      <c r="F79" s="1">
        <f t="shared" si="1"/>
        <v>311</v>
      </c>
    </row>
    <row r="80" ht="15.75" customHeight="1">
      <c r="A80" s="1" t="s">
        <v>105</v>
      </c>
      <c r="B80" s="1" t="str">
        <f t="array" ref="B80">IF(A80="", "", INDEX(Postresultater!E:E, MATCH(A80, Postresultater!C:C, 0)))</f>
        <v>Herrelag</v>
      </c>
      <c r="C80" s="1">
        <f>SUMIF(Postresultater!$C$2:$C$1000,A80,Postresultater!$D$2:$D$1000)</f>
        <v>231</v>
      </c>
      <c r="D80" s="1">
        <f>30+30+25+25+20+20+20+10+10+15</f>
        <v>205</v>
      </c>
      <c r="E80" s="3"/>
      <c r="F80" s="1">
        <f t="shared" si="1"/>
        <v>436</v>
      </c>
    </row>
    <row r="81" ht="15.75" customHeight="1">
      <c r="A81" s="1" t="s">
        <v>106</v>
      </c>
      <c r="B81" s="1" t="str">
        <f t="array" ref="B81">IF(A81="", "", INDEX(Postresultater!E:E, MATCH(A81, Postresultater!C:C, 0)))</f>
        <v>Herrelag</v>
      </c>
      <c r="C81" s="1">
        <f>SUMIF(Postresultater!$C$2:$C$1000,A81,Postresultater!$D$2:$D$1000)</f>
        <v>211</v>
      </c>
      <c r="D81" s="1">
        <f>15+15</f>
        <v>30</v>
      </c>
      <c r="E81" s="3"/>
      <c r="F81" s="1">
        <f t="shared" si="1"/>
        <v>241</v>
      </c>
    </row>
    <row r="82" ht="15.75" customHeight="1">
      <c r="A82" s="1" t="s">
        <v>107</v>
      </c>
      <c r="B82" s="1" t="str">
        <f t="array" ref="B82">IF(A82="", "", INDEX(Postresultater!E:E, MATCH(A82, Postresultater!C:C, 0)))</f>
        <v>Herrelag</v>
      </c>
      <c r="C82" s="1">
        <f>SUMIF(Postresultater!$C$2:$C$1000,A82,Postresultater!$D$2:$D$1000)</f>
        <v>166</v>
      </c>
      <c r="D82" s="1">
        <f>20+10+10+15+25+30+15+20+15</f>
        <v>160</v>
      </c>
      <c r="E82" s="3"/>
      <c r="F82" s="1">
        <f t="shared" si="1"/>
        <v>326</v>
      </c>
    </row>
    <row r="83" ht="15.75" customHeight="1">
      <c r="A83" s="1" t="s">
        <v>108</v>
      </c>
      <c r="B83" s="1" t="str">
        <f t="array" ref="B83">IF(A83="", "", INDEX(Postresultater!E:E, MATCH(A83, Postresultater!C:C, 0)))</f>
        <v>Mixlag</v>
      </c>
      <c r="C83" s="1">
        <f>SUMIF(Postresultater!$C$2:$C$1000,A83,Postresultater!$D$2:$D$1000)</f>
        <v>216</v>
      </c>
      <c r="D83" s="1">
        <f>15+15+10+10+15+25+15+20+15</f>
        <v>140</v>
      </c>
      <c r="E83" s="3"/>
      <c r="F83" s="1">
        <f t="shared" si="1"/>
        <v>356</v>
      </c>
    </row>
    <row r="84" ht="15.75" customHeight="1">
      <c r="A84" s="1" t="s">
        <v>109</v>
      </c>
      <c r="B84" s="1" t="str">
        <f t="array" ref="B84">IF(A84="", "", INDEX(Postresultater!E:E, MATCH(A84, Postresultater!C:C, 0)))</f>
        <v>Herrelag</v>
      </c>
      <c r="C84" s="1">
        <f>SUMIF(Postresultater!$C$2:$C$1000,A84,Postresultater!$D$2:$D$1000)</f>
        <v>135</v>
      </c>
      <c r="D84" s="3"/>
      <c r="E84" s="3"/>
      <c r="F84" s="1">
        <f t="shared" si="1"/>
        <v>135</v>
      </c>
    </row>
    <row r="85" ht="15.75" customHeight="1">
      <c r="A85" s="1" t="s">
        <v>110</v>
      </c>
      <c r="B85" s="1" t="str">
        <f t="array" ref="B85">IF(A85="", "", INDEX(Postresultater!E:E, MATCH(A85, Postresultater!C:C, 0)))</f>
        <v>Herrelag</v>
      </c>
      <c r="C85" s="1">
        <f>SUMIF(Postresultater!$C$2:$C$1000,A85,Postresultater!$D$2:$D$1000)</f>
        <v>286</v>
      </c>
      <c r="D85" s="1">
        <v>0.0</v>
      </c>
      <c r="E85" s="3"/>
      <c r="F85" s="1">
        <f t="shared" si="1"/>
        <v>286</v>
      </c>
    </row>
    <row r="86" ht="15.75" customHeight="1">
      <c r="A86" s="1" t="s">
        <v>111</v>
      </c>
      <c r="B86" s="1" t="str">
        <f t="array" ref="B86">IF(A86="", "", INDEX(Postresultater!E:E, MATCH(A86, Postresultater!C:C, 0)))</f>
        <v>#N/A</v>
      </c>
      <c r="C86" s="1">
        <f>SUMIF(Postresultater!$C$2:$C$1000,A86,Postresultater!$D$2:$D$1000)</f>
        <v>0</v>
      </c>
      <c r="D86" s="3"/>
      <c r="E86" s="3"/>
      <c r="F86" s="1">
        <f t="shared" si="1"/>
        <v>0</v>
      </c>
    </row>
    <row r="87" ht="15.75" customHeight="1">
      <c r="A87" s="1" t="s">
        <v>112</v>
      </c>
      <c r="B87" s="1" t="str">
        <f t="array" ref="B87">IF(A87="", "", INDEX(Postresultater!E:E, MATCH(A87, Postresultater!C:C, 0)))</f>
        <v>#N/A</v>
      </c>
      <c r="C87" s="1">
        <f>SUMIF(Postresultater!$C$2:$C$1000,A87,Postresultater!$D$2:$D$1000)</f>
        <v>0</v>
      </c>
      <c r="D87" s="3"/>
      <c r="E87" s="3"/>
      <c r="F87" s="1">
        <f t="shared" si="1"/>
        <v>0</v>
      </c>
    </row>
    <row r="88" ht="15.75" customHeight="1">
      <c r="A88" s="1" t="s">
        <v>113</v>
      </c>
      <c r="B88" s="1" t="str">
        <f t="array" ref="B88">IF(A88="", "", INDEX(Postresultater!E:E, MATCH(A88, Postresultater!C:C, 0)))</f>
        <v>#N/A</v>
      </c>
      <c r="C88" s="1">
        <f>SUMIF(Postresultater!$C$2:$C$1000,A88,Postresultater!$D$2:$D$1000)</f>
        <v>0</v>
      </c>
      <c r="D88" s="3"/>
      <c r="E88" s="3"/>
      <c r="F88" s="1">
        <f t="shared" si="1"/>
        <v>0</v>
      </c>
    </row>
    <row r="89" ht="15.75" customHeight="1">
      <c r="A89" s="1" t="s">
        <v>114</v>
      </c>
      <c r="B89" s="1" t="str">
        <f t="array" ref="B89">IF(A89="", "", INDEX(Postresultater!E:E, MATCH(A89, Postresultater!C:C, 0)))</f>
        <v>#N/A</v>
      </c>
      <c r="C89" s="1">
        <f>SUMIF(Postresultater!$C$2:$C$1000,A89,Postresultater!$D$2:$D$1000)</f>
        <v>0</v>
      </c>
      <c r="D89" s="3"/>
      <c r="E89" s="3"/>
      <c r="F89" s="1">
        <f t="shared" si="1"/>
        <v>0</v>
      </c>
    </row>
    <row r="90" ht="15.75" customHeight="1">
      <c r="A90" s="1" t="s">
        <v>115</v>
      </c>
      <c r="B90" s="1" t="str">
        <f t="array" ref="B90">IF(A90="", "", INDEX(Postresultater!E:E, MATCH(A90, Postresultater!C:C, 0)))</f>
        <v>Herrelag</v>
      </c>
      <c r="C90" s="1">
        <f>SUMIF(Postresultater!$C$2:$C$1000,A90,Postresultater!$D$2:$D$1000)</f>
        <v>23</v>
      </c>
      <c r="D90" s="3"/>
      <c r="E90" s="3"/>
      <c r="F90" s="1">
        <f t="shared" si="1"/>
        <v>23</v>
      </c>
    </row>
    <row r="91" ht="15.75" customHeight="1">
      <c r="A91" s="1" t="s">
        <v>116</v>
      </c>
      <c r="B91" s="1" t="str">
        <f t="array" ref="B91">IF(A91="", "", INDEX(Postresultater!E:E, MATCH(A91, Postresultater!C:C, 0)))</f>
        <v>#N/A</v>
      </c>
      <c r="C91" s="1">
        <f>SUMIF(Postresultater!$C$2:$C$1000,A91,Postresultater!$D$2:$D$1000)</f>
        <v>0</v>
      </c>
      <c r="D91" s="3"/>
      <c r="E91" s="3"/>
      <c r="F91" s="1">
        <f t="shared" si="1"/>
        <v>0</v>
      </c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0" customHeight="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</row>
    <row r="2" ht="12.0" customHeight="1">
      <c r="A2" s="10" t="s">
        <v>7</v>
      </c>
      <c r="B2" s="2" t="s">
        <v>117</v>
      </c>
      <c r="C2" s="11">
        <v>64.0</v>
      </c>
      <c r="D2" s="11">
        <v>85.0</v>
      </c>
      <c r="E2" s="11"/>
      <c r="F2" s="12">
        <v>149.0</v>
      </c>
    </row>
    <row r="3" ht="12.0" customHeight="1">
      <c r="A3" s="13" t="s">
        <v>12</v>
      </c>
      <c r="B3" s="2" t="s">
        <v>117</v>
      </c>
      <c r="C3" s="14">
        <v>234.0</v>
      </c>
      <c r="D3" s="14">
        <v>10.0</v>
      </c>
      <c r="E3" s="14"/>
      <c r="F3" s="15">
        <v>244.0</v>
      </c>
    </row>
    <row r="4" ht="12.0" customHeight="1">
      <c r="A4" s="10" t="s">
        <v>16</v>
      </c>
      <c r="B4" s="2" t="s">
        <v>117</v>
      </c>
      <c r="C4" s="11">
        <v>223.0</v>
      </c>
      <c r="D4" s="11"/>
      <c r="E4" s="11"/>
      <c r="F4" s="12">
        <v>223.0</v>
      </c>
    </row>
    <row r="5" ht="12.0" customHeight="1">
      <c r="A5" s="13" t="s">
        <v>37</v>
      </c>
      <c r="B5" s="2" t="s">
        <v>117</v>
      </c>
      <c r="C5" s="14">
        <v>194.0</v>
      </c>
      <c r="D5" s="14">
        <v>50.0</v>
      </c>
      <c r="E5" s="14"/>
      <c r="F5" s="15">
        <v>244.0</v>
      </c>
    </row>
    <row r="6" ht="12.0" customHeight="1">
      <c r="A6" s="10" t="s">
        <v>38</v>
      </c>
      <c r="B6" s="2" t="s">
        <v>117</v>
      </c>
      <c r="C6" s="11">
        <v>150.0</v>
      </c>
      <c r="D6" s="11">
        <v>125.0</v>
      </c>
      <c r="E6" s="11"/>
      <c r="F6" s="12">
        <v>275.0</v>
      </c>
    </row>
    <row r="7" ht="12.0" customHeight="1">
      <c r="A7" s="13" t="s">
        <v>43</v>
      </c>
      <c r="B7" s="2" t="s">
        <v>117</v>
      </c>
      <c r="C7" s="14">
        <v>249.0</v>
      </c>
      <c r="D7" s="14">
        <v>55.0</v>
      </c>
      <c r="E7" s="14"/>
      <c r="F7" s="15">
        <v>304.0</v>
      </c>
    </row>
    <row r="8" ht="12.0" customHeight="1">
      <c r="A8" s="10" t="s">
        <v>44</v>
      </c>
      <c r="B8" s="2" t="s">
        <v>117</v>
      </c>
      <c r="C8" s="11">
        <v>59.0</v>
      </c>
      <c r="D8" s="11">
        <v>260.0</v>
      </c>
      <c r="E8" s="11"/>
      <c r="F8" s="12">
        <v>319.0</v>
      </c>
    </row>
    <row r="9" ht="12.0" customHeight="1">
      <c r="A9" s="13" t="s">
        <v>46</v>
      </c>
      <c r="B9" s="2" t="s">
        <v>117</v>
      </c>
      <c r="C9" s="14">
        <v>210.0</v>
      </c>
      <c r="D9" s="14">
        <v>170.0</v>
      </c>
      <c r="E9" s="14"/>
      <c r="F9" s="15">
        <v>380.0</v>
      </c>
      <c r="G9" s="16" t="s">
        <v>118</v>
      </c>
    </row>
    <row r="10" ht="12.0" customHeight="1">
      <c r="A10" s="10" t="s">
        <v>47</v>
      </c>
      <c r="B10" s="2" t="s">
        <v>117</v>
      </c>
      <c r="C10" s="11">
        <v>171.0</v>
      </c>
      <c r="D10" s="11">
        <v>120.0</v>
      </c>
      <c r="E10" s="11">
        <v>5.0</v>
      </c>
      <c r="F10" s="12">
        <v>286.0</v>
      </c>
    </row>
    <row r="11" ht="12.0" customHeight="1">
      <c r="A11" s="13" t="s">
        <v>48</v>
      </c>
      <c r="B11" s="2" t="s">
        <v>117</v>
      </c>
      <c r="C11" s="14">
        <v>139.0</v>
      </c>
      <c r="D11" s="14">
        <v>170.0</v>
      </c>
      <c r="E11" s="14"/>
      <c r="F11" s="15">
        <v>309.0</v>
      </c>
    </row>
    <row r="12" ht="12.0" customHeight="1">
      <c r="A12" s="10" t="s">
        <v>49</v>
      </c>
      <c r="B12" s="2" t="s">
        <v>117</v>
      </c>
      <c r="C12" s="11">
        <v>178.0</v>
      </c>
      <c r="D12" s="11">
        <v>65.0</v>
      </c>
      <c r="E12" s="11"/>
      <c r="F12" s="12">
        <v>243.0</v>
      </c>
    </row>
    <row r="13" ht="12.0" customHeight="1">
      <c r="A13" s="13" t="s">
        <v>52</v>
      </c>
      <c r="B13" s="2" t="s">
        <v>117</v>
      </c>
      <c r="C13" s="14">
        <v>245.0</v>
      </c>
      <c r="D13" s="14"/>
      <c r="E13" s="14"/>
      <c r="F13" s="15">
        <v>245.0</v>
      </c>
    </row>
    <row r="14" ht="12.0" customHeight="1">
      <c r="A14" s="10" t="s">
        <v>53</v>
      </c>
      <c r="B14" s="2" t="s">
        <v>117</v>
      </c>
      <c r="C14" s="11">
        <v>158.0</v>
      </c>
      <c r="D14" s="11">
        <v>0.0</v>
      </c>
      <c r="E14" s="11"/>
      <c r="F14" s="12">
        <v>158.0</v>
      </c>
    </row>
    <row r="15" ht="12.0" customHeight="1">
      <c r="A15" s="13" t="s">
        <v>54</v>
      </c>
      <c r="B15" s="2" t="s">
        <v>117</v>
      </c>
      <c r="C15" s="14">
        <v>160.0</v>
      </c>
      <c r="D15" s="14"/>
      <c r="E15" s="14"/>
      <c r="F15" s="15">
        <v>160.0</v>
      </c>
    </row>
    <row r="16" ht="12.0" customHeight="1">
      <c r="A16" s="10" t="s">
        <v>56</v>
      </c>
      <c r="B16" s="2" t="s">
        <v>117</v>
      </c>
      <c r="C16" s="11">
        <v>60.0</v>
      </c>
      <c r="D16" s="11">
        <v>170.0</v>
      </c>
      <c r="E16" s="11"/>
      <c r="F16" s="12">
        <v>230.0</v>
      </c>
    </row>
    <row r="17" ht="12.0" customHeight="1">
      <c r="A17" s="13" t="s">
        <v>58</v>
      </c>
      <c r="B17" s="2" t="s">
        <v>117</v>
      </c>
      <c r="C17" s="14">
        <v>145.0</v>
      </c>
      <c r="D17" s="14">
        <v>135.0</v>
      </c>
      <c r="E17" s="14"/>
      <c r="F17" s="15">
        <v>280.0</v>
      </c>
    </row>
    <row r="18" ht="12.0" customHeight="1">
      <c r="A18" s="10" t="s">
        <v>60</v>
      </c>
      <c r="B18" s="2" t="s">
        <v>117</v>
      </c>
      <c r="C18" s="11">
        <v>202.0</v>
      </c>
      <c r="D18" s="11">
        <v>120.0</v>
      </c>
      <c r="E18" s="11"/>
      <c r="F18" s="12">
        <v>322.0</v>
      </c>
    </row>
    <row r="19" ht="12.0" customHeight="1">
      <c r="A19" s="13" t="s">
        <v>61</v>
      </c>
      <c r="B19" s="2" t="s">
        <v>117</v>
      </c>
      <c r="C19" s="14">
        <v>165.0</v>
      </c>
      <c r="D19" s="14">
        <v>240.0</v>
      </c>
      <c r="E19" s="14"/>
      <c r="F19" s="15">
        <v>405.0</v>
      </c>
      <c r="G19" s="16" t="s">
        <v>119</v>
      </c>
    </row>
    <row r="20" ht="12.0" customHeight="1">
      <c r="A20" s="10" t="s">
        <v>64</v>
      </c>
      <c r="B20" s="2" t="s">
        <v>117</v>
      </c>
      <c r="C20" s="11">
        <v>136.0</v>
      </c>
      <c r="D20" s="11">
        <v>31.0</v>
      </c>
      <c r="E20" s="11"/>
      <c r="F20" s="12">
        <v>167.0</v>
      </c>
    </row>
    <row r="21" ht="12.0" customHeight="1">
      <c r="A21" s="13" t="s">
        <v>66</v>
      </c>
      <c r="B21" s="2" t="s">
        <v>117</v>
      </c>
      <c r="C21" s="14">
        <v>101.0</v>
      </c>
      <c r="D21" s="14">
        <v>0.0</v>
      </c>
      <c r="E21" s="14"/>
      <c r="F21" s="15">
        <v>101.0</v>
      </c>
    </row>
    <row r="22" ht="12.0" customHeight="1">
      <c r="A22" s="10" t="s">
        <v>68</v>
      </c>
      <c r="B22" s="2" t="s">
        <v>117</v>
      </c>
      <c r="C22" s="11">
        <v>106.0</v>
      </c>
      <c r="D22" s="11">
        <v>0.0</v>
      </c>
      <c r="E22" s="11"/>
      <c r="F22" s="12">
        <v>106.0</v>
      </c>
    </row>
    <row r="23" ht="12.0" customHeight="1">
      <c r="A23" s="13" t="s">
        <v>70</v>
      </c>
      <c r="B23" s="2" t="s">
        <v>117</v>
      </c>
      <c r="C23" s="14">
        <v>84.0</v>
      </c>
      <c r="D23" s="14">
        <v>250.0</v>
      </c>
      <c r="E23" s="14"/>
      <c r="F23" s="15">
        <v>334.0</v>
      </c>
      <c r="G23" s="16" t="s">
        <v>120</v>
      </c>
    </row>
    <row r="24" ht="12.0" customHeight="1">
      <c r="A24" s="10" t="s">
        <v>71</v>
      </c>
      <c r="B24" s="2" t="s">
        <v>117</v>
      </c>
      <c r="C24" s="11">
        <v>160.0</v>
      </c>
      <c r="D24" s="11">
        <v>140.0</v>
      </c>
      <c r="E24" s="11"/>
      <c r="F24" s="12">
        <v>300.0</v>
      </c>
    </row>
    <row r="25" ht="12.0" customHeight="1">
      <c r="A25" s="13" t="s">
        <v>74</v>
      </c>
      <c r="B25" s="2" t="s">
        <v>117</v>
      </c>
      <c r="C25" s="14">
        <v>252.0</v>
      </c>
      <c r="D25" s="14">
        <v>45.0</v>
      </c>
      <c r="E25" s="14"/>
      <c r="F25" s="15">
        <v>297.0</v>
      </c>
    </row>
    <row r="26" ht="12.0" customHeight="1">
      <c r="A26" s="10" t="s">
        <v>75</v>
      </c>
      <c r="B26" s="2" t="s">
        <v>117</v>
      </c>
      <c r="C26" s="11">
        <v>206.0</v>
      </c>
      <c r="D26" s="11">
        <v>70.0</v>
      </c>
      <c r="E26" s="11"/>
      <c r="F26" s="12">
        <v>276.0</v>
      </c>
    </row>
    <row r="27" ht="12.0" customHeight="1">
      <c r="A27" s="13" t="s">
        <v>79</v>
      </c>
      <c r="B27" s="2" t="s">
        <v>117</v>
      </c>
      <c r="C27" s="14">
        <v>272.0</v>
      </c>
      <c r="D27" s="14">
        <v>10.0</v>
      </c>
      <c r="E27" s="14"/>
      <c r="F27" s="15">
        <v>282.0</v>
      </c>
    </row>
    <row r="28" ht="12.0" customHeight="1">
      <c r="A28" s="10" t="s">
        <v>80</v>
      </c>
      <c r="B28" s="2" t="s">
        <v>117</v>
      </c>
      <c r="C28" s="11">
        <v>105.0</v>
      </c>
      <c r="D28" s="11">
        <v>60.0</v>
      </c>
      <c r="E28" s="11"/>
      <c r="F28" s="12">
        <v>165.0</v>
      </c>
    </row>
    <row r="29" ht="12.0" customHeight="1">
      <c r="A29" s="13" t="s">
        <v>81</v>
      </c>
      <c r="B29" s="2" t="s">
        <v>117</v>
      </c>
      <c r="C29" s="14">
        <v>236.0</v>
      </c>
      <c r="D29" s="14">
        <v>45.0</v>
      </c>
      <c r="E29" s="14"/>
      <c r="F29" s="15">
        <v>281.0</v>
      </c>
    </row>
    <row r="30" ht="12.0" customHeight="1">
      <c r="A30" s="10" t="s">
        <v>85</v>
      </c>
      <c r="B30" s="2" t="s">
        <v>117</v>
      </c>
      <c r="C30" s="11">
        <v>216.0</v>
      </c>
      <c r="D30" s="11">
        <v>0.0</v>
      </c>
      <c r="E30" s="11"/>
      <c r="F30" s="12">
        <v>216.0</v>
      </c>
    </row>
    <row r="31" ht="12.0" customHeight="1">
      <c r="A31" s="13" t="s">
        <v>90</v>
      </c>
      <c r="B31" s="2" t="s">
        <v>117</v>
      </c>
      <c r="C31" s="14">
        <v>34.0</v>
      </c>
      <c r="D31" s="14">
        <v>180.0</v>
      </c>
      <c r="E31" s="14"/>
      <c r="F31" s="15">
        <v>214.0</v>
      </c>
    </row>
    <row r="32" ht="12.0" customHeight="1">
      <c r="A32" s="10" t="s">
        <v>92</v>
      </c>
      <c r="B32" s="2" t="s">
        <v>117</v>
      </c>
      <c r="C32" s="11">
        <v>135.0</v>
      </c>
      <c r="D32" s="11">
        <v>40.0</v>
      </c>
      <c r="E32" s="11"/>
      <c r="F32" s="12">
        <v>175.0</v>
      </c>
    </row>
    <row r="33" ht="12.0" customHeight="1">
      <c r="A33" s="13" t="s">
        <v>93</v>
      </c>
      <c r="B33" s="2" t="s">
        <v>117</v>
      </c>
      <c r="C33" s="14">
        <v>252.0</v>
      </c>
      <c r="D33" s="14">
        <v>55.0</v>
      </c>
      <c r="E33" s="14"/>
      <c r="F33" s="15">
        <v>307.0</v>
      </c>
    </row>
    <row r="34" ht="12.0" customHeight="1">
      <c r="A34" s="10" t="s">
        <v>100</v>
      </c>
      <c r="B34" s="2" t="s">
        <v>117</v>
      </c>
      <c r="C34" s="11">
        <v>170.0</v>
      </c>
      <c r="D34" s="11">
        <v>65.0</v>
      </c>
      <c r="E34" s="11"/>
      <c r="F34" s="12">
        <v>235.0</v>
      </c>
    </row>
    <row r="35" ht="12.0" customHeight="1">
      <c r="A35" s="13" t="s">
        <v>104</v>
      </c>
      <c r="B35" s="2" t="s">
        <v>117</v>
      </c>
      <c r="C35" s="14">
        <v>224.0</v>
      </c>
      <c r="D35" s="14">
        <v>75.0</v>
      </c>
      <c r="E35" s="14"/>
      <c r="F35" s="15">
        <v>299.0</v>
      </c>
      <c r="I35" s="16" t="s">
        <v>121</v>
      </c>
      <c r="J35" s="17">
        <v>34.0</v>
      </c>
    </row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0" customHeight="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</row>
    <row r="2" ht="12.0" customHeight="1">
      <c r="A2" s="10" t="s">
        <v>17</v>
      </c>
      <c r="B2" s="2" t="s">
        <v>122</v>
      </c>
      <c r="C2" s="11">
        <v>68.0</v>
      </c>
      <c r="D2" s="11">
        <v>350.0</v>
      </c>
      <c r="E2" s="11"/>
      <c r="F2" s="12">
        <v>418.0</v>
      </c>
      <c r="G2" s="16" t="s">
        <v>123</v>
      </c>
    </row>
    <row r="3" ht="12.0" customHeight="1">
      <c r="A3" s="13" t="s">
        <v>28</v>
      </c>
      <c r="B3" s="2" t="s">
        <v>122</v>
      </c>
      <c r="C3" s="14">
        <v>92.0</v>
      </c>
      <c r="D3" s="14">
        <v>190.0</v>
      </c>
      <c r="E3" s="14"/>
      <c r="F3" s="15">
        <v>282.0</v>
      </c>
    </row>
    <row r="4" ht="12.0" customHeight="1">
      <c r="A4" s="10" t="s">
        <v>32</v>
      </c>
      <c r="B4" s="2" t="s">
        <v>122</v>
      </c>
      <c r="C4" s="11">
        <v>139.0</v>
      </c>
      <c r="D4" s="11">
        <v>80.0</v>
      </c>
      <c r="E4" s="11"/>
      <c r="F4" s="12">
        <v>219.0</v>
      </c>
    </row>
    <row r="5" ht="12.0" customHeight="1">
      <c r="A5" s="13" t="s">
        <v>36</v>
      </c>
      <c r="B5" s="2" t="s">
        <v>122</v>
      </c>
      <c r="C5" s="14">
        <v>117.0</v>
      </c>
      <c r="D5" s="14">
        <v>160.0</v>
      </c>
      <c r="E5" s="14"/>
      <c r="F5" s="15">
        <v>277.0</v>
      </c>
    </row>
    <row r="6" ht="12.0" customHeight="1">
      <c r="A6" s="10" t="s">
        <v>39</v>
      </c>
      <c r="B6" s="2" t="s">
        <v>122</v>
      </c>
      <c r="C6" s="11">
        <v>148.0</v>
      </c>
      <c r="D6" s="11">
        <v>210.0</v>
      </c>
      <c r="E6" s="11"/>
      <c r="F6" s="12">
        <v>358.0</v>
      </c>
    </row>
    <row r="7" ht="12.0" customHeight="1">
      <c r="A7" s="13" t="s">
        <v>41</v>
      </c>
      <c r="B7" s="2" t="s">
        <v>122</v>
      </c>
      <c r="C7" s="14">
        <v>227.0</v>
      </c>
      <c r="D7" s="14">
        <v>325.0</v>
      </c>
      <c r="E7" s="14"/>
      <c r="F7" s="15">
        <v>552.0</v>
      </c>
      <c r="G7" s="16" t="s">
        <v>119</v>
      </c>
    </row>
    <row r="8" ht="12.0" customHeight="1">
      <c r="A8" s="10" t="s">
        <v>42</v>
      </c>
      <c r="B8" s="2" t="s">
        <v>122</v>
      </c>
      <c r="C8" s="11">
        <v>233.0</v>
      </c>
      <c r="D8" s="11">
        <v>100.0</v>
      </c>
      <c r="E8" s="11"/>
      <c r="F8" s="12">
        <v>333.0</v>
      </c>
    </row>
    <row r="9" ht="12.0" customHeight="1">
      <c r="A9" s="13" t="s">
        <v>45</v>
      </c>
      <c r="B9" s="2" t="s">
        <v>122</v>
      </c>
      <c r="C9" s="14">
        <v>201.0</v>
      </c>
      <c r="D9" s="14">
        <v>165.0</v>
      </c>
      <c r="E9" s="14"/>
      <c r="F9" s="15">
        <v>366.0</v>
      </c>
    </row>
    <row r="10" ht="12.0" customHeight="1">
      <c r="A10" s="10" t="s">
        <v>50</v>
      </c>
      <c r="B10" s="2" t="s">
        <v>122</v>
      </c>
      <c r="C10" s="11">
        <v>117.0</v>
      </c>
      <c r="D10" s="11">
        <v>250.0</v>
      </c>
      <c r="E10" s="11"/>
      <c r="F10" s="12">
        <v>367.0</v>
      </c>
    </row>
    <row r="11" ht="12.0" customHeight="1">
      <c r="A11" s="13" t="s">
        <v>51</v>
      </c>
      <c r="B11" s="2" t="s">
        <v>122</v>
      </c>
      <c r="C11" s="14">
        <v>67.0</v>
      </c>
      <c r="D11" s="14">
        <v>220.0</v>
      </c>
      <c r="E11" s="14"/>
      <c r="F11" s="15">
        <v>287.0</v>
      </c>
    </row>
    <row r="12" ht="12.0" customHeight="1">
      <c r="A12" s="10" t="s">
        <v>59</v>
      </c>
      <c r="B12" s="2" t="s">
        <v>122</v>
      </c>
      <c r="C12" s="11">
        <v>145.0</v>
      </c>
      <c r="D12" s="11">
        <v>165.0</v>
      </c>
      <c r="E12" s="11"/>
      <c r="F12" s="12">
        <v>310.0</v>
      </c>
    </row>
    <row r="13" ht="12.0" customHeight="1">
      <c r="A13" s="13" t="s">
        <v>62</v>
      </c>
      <c r="B13" s="2" t="s">
        <v>122</v>
      </c>
      <c r="C13" s="14">
        <v>87.0</v>
      </c>
      <c r="D13" s="14">
        <v>170.0</v>
      </c>
      <c r="E13" s="14"/>
      <c r="F13" s="15">
        <v>257.0</v>
      </c>
    </row>
    <row r="14" ht="12.0" customHeight="1">
      <c r="A14" s="10" t="s">
        <v>63</v>
      </c>
      <c r="B14" s="2" t="s">
        <v>122</v>
      </c>
      <c r="C14" s="11">
        <v>202.0</v>
      </c>
      <c r="D14" s="11">
        <v>100.0</v>
      </c>
      <c r="E14" s="11"/>
      <c r="F14" s="12">
        <v>302.0</v>
      </c>
    </row>
    <row r="15" ht="12.0" customHeight="1">
      <c r="A15" s="13" t="s">
        <v>65</v>
      </c>
      <c r="B15" s="2" t="s">
        <v>122</v>
      </c>
      <c r="C15" s="14">
        <v>224.0</v>
      </c>
      <c r="D15" s="14">
        <v>65.0</v>
      </c>
      <c r="E15" s="14"/>
      <c r="F15" s="15">
        <v>289.0</v>
      </c>
    </row>
    <row r="16" ht="12.0" customHeight="1">
      <c r="A16" s="10" t="s">
        <v>76</v>
      </c>
      <c r="B16" s="2" t="s">
        <v>122</v>
      </c>
      <c r="C16" s="11">
        <v>55.0</v>
      </c>
      <c r="D16" s="11">
        <v>235.0</v>
      </c>
      <c r="E16" s="11"/>
      <c r="F16" s="12">
        <v>290.0</v>
      </c>
    </row>
    <row r="17" ht="12.0" customHeight="1">
      <c r="A17" s="13" t="s">
        <v>86</v>
      </c>
      <c r="B17" s="2" t="s">
        <v>122</v>
      </c>
      <c r="C17" s="14">
        <v>98.0</v>
      </c>
      <c r="D17" s="14">
        <v>150.0</v>
      </c>
      <c r="E17" s="14"/>
      <c r="F17" s="15">
        <v>248.0</v>
      </c>
    </row>
    <row r="18" ht="12.0" customHeight="1">
      <c r="A18" s="10" t="s">
        <v>87</v>
      </c>
      <c r="B18" s="2" t="s">
        <v>122</v>
      </c>
      <c r="C18" s="11">
        <v>220.0</v>
      </c>
      <c r="D18" s="11">
        <v>130.0</v>
      </c>
      <c r="E18" s="11"/>
      <c r="F18" s="12">
        <v>350.0</v>
      </c>
    </row>
    <row r="19" ht="12.0" customHeight="1">
      <c r="A19" s="13" t="s">
        <v>94</v>
      </c>
      <c r="B19" s="2" t="s">
        <v>122</v>
      </c>
      <c r="C19" s="14">
        <v>180.0</v>
      </c>
      <c r="D19" s="14">
        <v>10.0</v>
      </c>
      <c r="E19" s="14"/>
      <c r="F19" s="15">
        <v>190.0</v>
      </c>
    </row>
    <row r="20" ht="12.0" customHeight="1">
      <c r="A20" s="10" t="s">
        <v>95</v>
      </c>
      <c r="B20" s="2" t="s">
        <v>122</v>
      </c>
      <c r="C20" s="11">
        <v>77.0</v>
      </c>
      <c r="D20" s="11">
        <v>150.0</v>
      </c>
      <c r="E20" s="11"/>
      <c r="F20" s="12">
        <v>227.0</v>
      </c>
    </row>
    <row r="21" ht="12.0" customHeight="1">
      <c r="A21" s="13" t="s">
        <v>98</v>
      </c>
      <c r="B21" s="2" t="s">
        <v>122</v>
      </c>
      <c r="C21" s="14">
        <v>310.0</v>
      </c>
      <c r="D21" s="14">
        <v>35.0</v>
      </c>
      <c r="E21" s="14"/>
      <c r="F21" s="15">
        <v>345.0</v>
      </c>
    </row>
    <row r="22" ht="12.0" customHeight="1">
      <c r="A22" s="10" t="s">
        <v>101</v>
      </c>
      <c r="B22" s="2" t="s">
        <v>122</v>
      </c>
      <c r="C22" s="11">
        <v>198.0</v>
      </c>
      <c r="D22" s="11">
        <v>170.0</v>
      </c>
      <c r="E22" s="11"/>
      <c r="F22" s="12">
        <v>368.0</v>
      </c>
    </row>
    <row r="23" ht="12.0" customHeight="1">
      <c r="A23" s="13" t="s">
        <v>105</v>
      </c>
      <c r="B23" s="2" t="s">
        <v>122</v>
      </c>
      <c r="C23" s="14">
        <v>231.0</v>
      </c>
      <c r="D23" s="14">
        <v>205.0</v>
      </c>
      <c r="E23" s="14"/>
      <c r="F23" s="15">
        <v>436.0</v>
      </c>
      <c r="G23" s="16" t="s">
        <v>124</v>
      </c>
    </row>
    <row r="24" ht="12.0" customHeight="1">
      <c r="A24" s="10" t="s">
        <v>106</v>
      </c>
      <c r="B24" s="2" t="s">
        <v>122</v>
      </c>
      <c r="C24" s="11">
        <v>199.0</v>
      </c>
      <c r="D24" s="11">
        <v>30.0</v>
      </c>
      <c r="E24" s="11"/>
      <c r="F24" s="12">
        <v>229.0</v>
      </c>
    </row>
    <row r="25" ht="12.0" customHeight="1">
      <c r="A25" s="13" t="s">
        <v>107</v>
      </c>
      <c r="B25" s="2" t="s">
        <v>122</v>
      </c>
      <c r="C25" s="14">
        <v>139.0</v>
      </c>
      <c r="D25" s="14">
        <v>160.0</v>
      </c>
      <c r="E25" s="14"/>
      <c r="F25" s="15">
        <v>299.0</v>
      </c>
    </row>
    <row r="26" ht="12.0" customHeight="1">
      <c r="A26" s="10" t="s">
        <v>109</v>
      </c>
      <c r="B26" s="2" t="s">
        <v>122</v>
      </c>
      <c r="C26" s="11">
        <v>108.0</v>
      </c>
      <c r="D26" s="11"/>
      <c r="E26" s="11"/>
      <c r="F26" s="12">
        <v>108.0</v>
      </c>
    </row>
    <row r="27" ht="12.0" customHeight="1">
      <c r="A27" s="13" t="s">
        <v>110</v>
      </c>
      <c r="B27" s="2" t="s">
        <v>122</v>
      </c>
      <c r="C27" s="14">
        <v>258.0</v>
      </c>
      <c r="D27" s="14">
        <v>0.0</v>
      </c>
      <c r="E27" s="14"/>
      <c r="F27" s="15">
        <v>258.0</v>
      </c>
    </row>
    <row r="28" ht="12.0" customHeight="1">
      <c r="A28" s="10" t="s">
        <v>115</v>
      </c>
      <c r="B28" s="2" t="s">
        <v>122</v>
      </c>
      <c r="C28" s="11">
        <v>23.0</v>
      </c>
      <c r="D28" s="11"/>
      <c r="E28" s="11"/>
      <c r="F28" s="12">
        <v>23.0</v>
      </c>
      <c r="H28" s="16" t="s">
        <v>125</v>
      </c>
      <c r="I28" s="17">
        <v>27.0</v>
      </c>
    </row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0" customHeight="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</row>
    <row r="2" ht="12.0" customHeight="1">
      <c r="A2" s="10" t="s">
        <v>18</v>
      </c>
      <c r="B2" s="2" t="s">
        <v>126</v>
      </c>
      <c r="C2" s="11">
        <v>282.0</v>
      </c>
      <c r="D2" s="11">
        <v>50.0</v>
      </c>
      <c r="E2" s="11"/>
      <c r="F2" s="12">
        <v>332.0</v>
      </c>
    </row>
    <row r="3" ht="12.0" customHeight="1">
      <c r="A3" s="13" t="s">
        <v>22</v>
      </c>
      <c r="B3" s="2" t="s">
        <v>126</v>
      </c>
      <c r="C3" s="14">
        <v>206.0</v>
      </c>
      <c r="D3" s="14">
        <v>75.0</v>
      </c>
      <c r="E3" s="14"/>
      <c r="F3" s="15">
        <v>281.0</v>
      </c>
    </row>
    <row r="4" ht="12.0" customHeight="1">
      <c r="A4" s="10" t="s">
        <v>27</v>
      </c>
      <c r="B4" s="2" t="s">
        <v>126</v>
      </c>
      <c r="C4" s="11">
        <v>212.0</v>
      </c>
      <c r="D4" s="11">
        <v>50.0</v>
      </c>
      <c r="E4" s="11"/>
      <c r="F4" s="12">
        <v>262.0</v>
      </c>
    </row>
    <row r="5" ht="12.0" customHeight="1">
      <c r="A5" s="13" t="s">
        <v>40</v>
      </c>
      <c r="B5" s="2" t="s">
        <v>126</v>
      </c>
      <c r="C5" s="14">
        <v>209.0</v>
      </c>
      <c r="D5" s="14">
        <v>170.0</v>
      </c>
      <c r="E5" s="14"/>
      <c r="F5" s="15">
        <v>379.0</v>
      </c>
      <c r="G5" s="16" t="s">
        <v>124</v>
      </c>
    </row>
    <row r="6" ht="12.0" customHeight="1">
      <c r="A6" s="10" t="s">
        <v>57</v>
      </c>
      <c r="B6" s="2" t="s">
        <v>126</v>
      </c>
      <c r="C6" s="11">
        <v>105.0</v>
      </c>
      <c r="D6" s="11">
        <v>40.0</v>
      </c>
      <c r="E6" s="11"/>
      <c r="F6" s="12">
        <v>145.0</v>
      </c>
    </row>
    <row r="7" ht="12.0" customHeight="1">
      <c r="A7" s="13" t="s">
        <v>67</v>
      </c>
      <c r="B7" s="2" t="s">
        <v>126</v>
      </c>
      <c r="C7" s="14">
        <v>234.0</v>
      </c>
      <c r="D7" s="14">
        <v>85.0</v>
      </c>
      <c r="E7" s="14"/>
      <c r="F7" s="15">
        <v>319.0</v>
      </c>
    </row>
    <row r="8" ht="12.0" customHeight="1">
      <c r="A8" s="10" t="s">
        <v>72</v>
      </c>
      <c r="B8" s="2" t="s">
        <v>126</v>
      </c>
      <c r="C8" s="11">
        <v>61.0</v>
      </c>
      <c r="D8" s="11">
        <v>130.0</v>
      </c>
      <c r="E8" s="11"/>
      <c r="F8" s="12">
        <v>191.0</v>
      </c>
    </row>
    <row r="9" ht="12.0" customHeight="1">
      <c r="A9" s="13" t="s">
        <v>73</v>
      </c>
      <c r="B9" s="2" t="s">
        <v>126</v>
      </c>
      <c r="C9" s="14">
        <v>123.0</v>
      </c>
      <c r="D9" s="14">
        <v>180.0</v>
      </c>
      <c r="E9" s="14"/>
      <c r="F9" s="15">
        <v>303.0</v>
      </c>
    </row>
    <row r="10" ht="12.0" customHeight="1">
      <c r="A10" s="10" t="s">
        <v>77</v>
      </c>
      <c r="B10" s="2" t="s">
        <v>126</v>
      </c>
      <c r="C10" s="11">
        <v>244.0</v>
      </c>
      <c r="D10" s="11">
        <v>35.0</v>
      </c>
      <c r="E10" s="11"/>
      <c r="F10" s="12">
        <v>279.0</v>
      </c>
    </row>
    <row r="11" ht="12.0" customHeight="1">
      <c r="A11" s="13" t="s">
        <v>82</v>
      </c>
      <c r="B11" s="2" t="s">
        <v>126</v>
      </c>
      <c r="C11" s="14">
        <v>102.0</v>
      </c>
      <c r="D11" s="14">
        <v>120.0</v>
      </c>
      <c r="E11" s="14"/>
      <c r="F11" s="15">
        <v>222.0</v>
      </c>
    </row>
    <row r="12" ht="12.0" customHeight="1">
      <c r="A12" s="10" t="s">
        <v>83</v>
      </c>
      <c r="B12" s="2" t="s">
        <v>126</v>
      </c>
      <c r="C12" s="11">
        <v>16.0</v>
      </c>
      <c r="D12" s="11"/>
      <c r="E12" s="11"/>
      <c r="F12" s="12">
        <v>16.0</v>
      </c>
    </row>
    <row r="13" ht="12.0" customHeight="1">
      <c r="A13" s="13" t="s">
        <v>88</v>
      </c>
      <c r="B13" s="2" t="s">
        <v>126</v>
      </c>
      <c r="C13" s="14">
        <v>137.0</v>
      </c>
      <c r="D13" s="14">
        <v>202.0</v>
      </c>
      <c r="E13" s="14"/>
      <c r="F13" s="15">
        <v>339.0</v>
      </c>
    </row>
    <row r="14" ht="12.0" customHeight="1">
      <c r="A14" s="10" t="s">
        <v>89</v>
      </c>
      <c r="B14" s="2" t="s">
        <v>126</v>
      </c>
      <c r="C14" s="11">
        <v>117.0</v>
      </c>
      <c r="D14" s="11">
        <v>205.0</v>
      </c>
      <c r="E14" s="11"/>
      <c r="F14" s="12">
        <v>322.0</v>
      </c>
    </row>
    <row r="15" ht="12.0" customHeight="1">
      <c r="A15" s="13" t="s">
        <v>91</v>
      </c>
      <c r="B15" s="2" t="s">
        <v>126</v>
      </c>
      <c r="C15" s="14">
        <v>174.0</v>
      </c>
      <c r="D15" s="14">
        <v>90.0</v>
      </c>
      <c r="E15" s="14"/>
      <c r="F15" s="15">
        <v>264.0</v>
      </c>
    </row>
    <row r="16" ht="12.0" customHeight="1">
      <c r="A16" s="10" t="s">
        <v>96</v>
      </c>
      <c r="B16" s="2" t="s">
        <v>126</v>
      </c>
      <c r="C16" s="11">
        <v>121.0</v>
      </c>
      <c r="D16" s="11">
        <v>160.0</v>
      </c>
      <c r="E16" s="11"/>
      <c r="F16" s="12">
        <v>281.0</v>
      </c>
    </row>
    <row r="17" ht="12.0" customHeight="1">
      <c r="A17" s="13" t="s">
        <v>97</v>
      </c>
      <c r="B17" s="2" t="s">
        <v>126</v>
      </c>
      <c r="C17" s="14">
        <v>137.0</v>
      </c>
      <c r="D17" s="14">
        <v>90.0</v>
      </c>
      <c r="E17" s="14"/>
      <c r="F17" s="15">
        <v>227.0</v>
      </c>
    </row>
    <row r="18" ht="12.0" customHeight="1">
      <c r="A18" s="10" t="s">
        <v>99</v>
      </c>
      <c r="B18" s="2" t="s">
        <v>126</v>
      </c>
      <c r="C18" s="11">
        <v>188.0</v>
      </c>
      <c r="D18" s="11">
        <v>195.0</v>
      </c>
      <c r="E18" s="11"/>
      <c r="F18" s="12">
        <v>383.0</v>
      </c>
      <c r="G18" s="16" t="s">
        <v>119</v>
      </c>
    </row>
    <row r="19" ht="12.0" customHeight="1">
      <c r="A19" s="13" t="s">
        <v>102</v>
      </c>
      <c r="B19" s="2" t="s">
        <v>126</v>
      </c>
      <c r="C19" s="14">
        <v>261.0</v>
      </c>
      <c r="D19" s="14">
        <v>10.0</v>
      </c>
      <c r="E19" s="14"/>
      <c r="F19" s="15">
        <v>271.0</v>
      </c>
    </row>
    <row r="20" ht="12.0" customHeight="1">
      <c r="A20" s="10" t="s">
        <v>103</v>
      </c>
      <c r="B20" s="2" t="s">
        <v>126</v>
      </c>
      <c r="C20" s="11">
        <v>182.0</v>
      </c>
      <c r="D20" s="11">
        <v>0.0</v>
      </c>
      <c r="E20" s="11"/>
      <c r="F20" s="12">
        <v>182.0</v>
      </c>
    </row>
    <row r="21" ht="12.0" customHeight="1">
      <c r="A21" s="13" t="s">
        <v>108</v>
      </c>
      <c r="B21" s="2" t="s">
        <v>126</v>
      </c>
      <c r="C21" s="14">
        <v>216.0</v>
      </c>
      <c r="D21" s="14">
        <v>140.0</v>
      </c>
      <c r="E21" s="14"/>
      <c r="F21" s="15">
        <v>356.0</v>
      </c>
      <c r="G21" s="16" t="s">
        <v>120</v>
      </c>
    </row>
    <row r="22" ht="12.0" customHeight="1">
      <c r="I22" s="16" t="s">
        <v>127</v>
      </c>
      <c r="J22" s="17">
        <v>20.0</v>
      </c>
    </row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4.0"/>
    <col customWidth="1" min="2" max="6" width="12.63"/>
  </cols>
  <sheetData>
    <row r="1" ht="15.75" customHeight="1">
      <c r="A1" s="2" t="str">
        <f>IFERROR(__xludf.DUMMYFUNCTION("IMPORTRANGE(""https://docs.google.com/spreadsheets/d/1E3kCbXJS7ZER5zI1Pz4wc8zv6eqQbjnXoMlFmcNHf8o/edit?resourcekey=&amp;gid=354213960#gid=354213960"",""Skjemasvar 1!A:E"")"),"Tidsmerke")</f>
        <v>Tidsmerke</v>
      </c>
      <c r="B1" s="2" t="str">
        <f>IFERROR(__xludf.DUMMYFUNCTION("""COMPUTED_VALUE"""),"POSTNUMMER")</f>
        <v>POSTNUMMER</v>
      </c>
      <c r="C1" s="2" t="str">
        <f>IFERROR(__xludf.DUMMYFUNCTION("""COMPUTED_VALUE"""),"LAGNUMMER")</f>
        <v>LAGNUMMER</v>
      </c>
      <c r="D1" s="2" t="str">
        <f>IFERROR(__xludf.DUMMYFUNCTION("""COMPUTED_VALUE"""),"POENG")</f>
        <v>POENG</v>
      </c>
      <c r="E1" s="2" t="str">
        <f>IFERROR(__xludf.DUMMYFUNCTION("""COMPUTED_VALUE"""),"LAGSTYPE")</f>
        <v>LAGSTYPE</v>
      </c>
    </row>
    <row r="2" ht="15.75" customHeight="1">
      <c r="A2" s="18">
        <f>IFERROR(__xludf.DUMMYFUNCTION("""COMPUTED_VALUE"""),45857.46150138889)</f>
        <v>45857.4615</v>
      </c>
      <c r="B2" s="2" t="str">
        <f>IFERROR(__xludf.DUMMYFUNCTION("""COMPUTED_VALUE"""),"Post 18")</f>
        <v>Post 18</v>
      </c>
      <c r="C2" s="2" t="str">
        <f>IFERROR(__xludf.DUMMYFUNCTION("""COMPUTED_VALUE"""),"LAG 33")</f>
        <v>LAG 33</v>
      </c>
      <c r="D2" s="2">
        <f>IFERROR(__xludf.DUMMYFUNCTION("""COMPUTED_VALUE"""),15.0)</f>
        <v>15</v>
      </c>
      <c r="E2" s="2" t="str">
        <f>IFERROR(__xludf.DUMMYFUNCTION("""COMPUTED_VALUE"""),"Herrelag")</f>
        <v>Herrelag</v>
      </c>
    </row>
    <row r="3" ht="15.75" customHeight="1">
      <c r="A3" s="18">
        <f>IFERROR(__xludf.DUMMYFUNCTION("""COMPUTED_VALUE"""),45857.461869363426)</f>
        <v>45857.46187</v>
      </c>
      <c r="B3" s="2" t="str">
        <f>IFERROR(__xludf.DUMMYFUNCTION("""COMPUTED_VALUE"""),"Post 2")</f>
        <v>Post 2</v>
      </c>
      <c r="C3" s="2" t="str">
        <f>IFERROR(__xludf.DUMMYFUNCTION("""COMPUTED_VALUE"""),"LAG 47")</f>
        <v>LAG 47</v>
      </c>
      <c r="D3" s="2">
        <f>IFERROR(__xludf.DUMMYFUNCTION("""COMPUTED_VALUE"""),15.0)</f>
        <v>15</v>
      </c>
      <c r="E3" s="2" t="str">
        <f>IFERROR(__xludf.DUMMYFUNCTION("""COMPUTED_VALUE"""),"Mixlag")</f>
        <v>Mixlag</v>
      </c>
    </row>
    <row r="4" ht="15.75" customHeight="1">
      <c r="A4" s="18">
        <f>IFERROR(__xludf.DUMMYFUNCTION("""COMPUTED_VALUE"""),45857.46262831018)</f>
        <v>45857.46263</v>
      </c>
      <c r="B4" s="2" t="str">
        <f>IFERROR(__xludf.DUMMYFUNCTION("""COMPUTED_VALUE"""),"Post 18")</f>
        <v>Post 18</v>
      </c>
      <c r="C4" s="2" t="str">
        <f>IFERROR(__xludf.DUMMYFUNCTION("""COMPUTED_VALUE"""),"LAG 57")</f>
        <v>LAG 57</v>
      </c>
      <c r="D4" s="2">
        <f>IFERROR(__xludf.DUMMYFUNCTION("""COMPUTED_VALUE"""),11.0)</f>
        <v>11</v>
      </c>
      <c r="E4" s="2" t="str">
        <f>IFERROR(__xludf.DUMMYFUNCTION("""COMPUTED_VALUE"""),"Mixlag")</f>
        <v>Mixlag</v>
      </c>
    </row>
    <row r="5" ht="15.75" customHeight="1">
      <c r="A5" s="18">
        <f>IFERROR(__xludf.DUMMYFUNCTION("""COMPUTED_VALUE"""),45857.46283178241)</f>
        <v>45857.46283</v>
      </c>
      <c r="B5" s="2" t="str">
        <f>IFERROR(__xludf.DUMMYFUNCTION("""COMPUTED_VALUE"""),"Post 8")</f>
        <v>Post 8</v>
      </c>
      <c r="C5" s="2" t="str">
        <f>IFERROR(__xludf.DUMMYFUNCTION("""COMPUTED_VALUE"""),"LAG 4")</f>
        <v>LAG 4</v>
      </c>
      <c r="D5" s="2">
        <f>IFERROR(__xludf.DUMMYFUNCTION("""COMPUTED_VALUE"""),3.0)</f>
        <v>3</v>
      </c>
      <c r="E5" s="2" t="str">
        <f>IFERROR(__xludf.DUMMYFUNCTION("""COMPUTED_VALUE"""),"Herrelag")</f>
        <v>Herrelag</v>
      </c>
    </row>
    <row r="6" ht="15.75" customHeight="1">
      <c r="A6" s="18">
        <f>IFERROR(__xludf.DUMMYFUNCTION("""COMPUTED_VALUE"""),45857.46283924769)</f>
        <v>45857.46284</v>
      </c>
      <c r="B6" s="2" t="str">
        <f>IFERROR(__xludf.DUMMYFUNCTION("""COMPUTED_VALUE"""),"Post 15")</f>
        <v>Post 15</v>
      </c>
      <c r="C6" s="2" t="str">
        <f>IFERROR(__xludf.DUMMYFUNCTION("""COMPUTED_VALUE"""),"LAG 61")</f>
        <v>LAG 61</v>
      </c>
      <c r="D6" s="2">
        <f>IFERROR(__xludf.DUMMYFUNCTION("""COMPUTED_VALUE"""),15.0)</f>
        <v>15</v>
      </c>
      <c r="E6" s="2" t="str">
        <f>IFERROR(__xludf.DUMMYFUNCTION("""COMPUTED_VALUE"""),"Herrelag")</f>
        <v>Herrelag</v>
      </c>
    </row>
    <row r="7" ht="15.75" customHeight="1">
      <c r="A7" s="18">
        <f>IFERROR(__xludf.DUMMYFUNCTION("""COMPUTED_VALUE"""),45857.463003136574)</f>
        <v>45857.463</v>
      </c>
      <c r="B7" s="2" t="str">
        <f>IFERROR(__xludf.DUMMYFUNCTION("""COMPUTED_VALUE"""),"Post 12")</f>
        <v>Post 12</v>
      </c>
      <c r="C7" s="2" t="str">
        <f>IFERROR(__xludf.DUMMYFUNCTION("""COMPUTED_VALUE"""),"LAG 15")</f>
        <v>LAG 15</v>
      </c>
      <c r="D7" s="2">
        <f>IFERROR(__xludf.DUMMYFUNCTION("""COMPUTED_VALUE"""),20.0)</f>
        <v>20</v>
      </c>
      <c r="E7" s="2" t="str">
        <f>IFERROR(__xludf.DUMMYFUNCTION("""COMPUTED_VALUE"""),"Herrelag")</f>
        <v>Herrelag</v>
      </c>
    </row>
    <row r="8" ht="15.75" customHeight="1">
      <c r="A8" s="18">
        <f>IFERROR(__xludf.DUMMYFUNCTION("""COMPUTED_VALUE"""),45857.46304747685)</f>
        <v>45857.46305</v>
      </c>
      <c r="B8" s="2" t="str">
        <f>IFERROR(__xludf.DUMMYFUNCTION("""COMPUTED_VALUE"""),"Post 15")</f>
        <v>Post 15</v>
      </c>
      <c r="C8" s="2" t="str">
        <f>IFERROR(__xludf.DUMMYFUNCTION("""COMPUTED_VALUE"""),"LAG 79")</f>
        <v>LAG 79</v>
      </c>
      <c r="D8" s="2">
        <f>IFERROR(__xludf.DUMMYFUNCTION("""COMPUTED_VALUE"""),20.0)</f>
        <v>20</v>
      </c>
      <c r="E8" s="2" t="str">
        <f>IFERROR(__xludf.DUMMYFUNCTION("""COMPUTED_VALUE"""),"Herrelag")</f>
        <v>Herrelag</v>
      </c>
    </row>
    <row r="9" ht="15.75" customHeight="1">
      <c r="A9" s="18">
        <f>IFERROR(__xludf.DUMMYFUNCTION("""COMPUTED_VALUE"""),45857.46314304398)</f>
        <v>45857.46314</v>
      </c>
      <c r="B9" s="2" t="str">
        <f>IFERROR(__xludf.DUMMYFUNCTION("""COMPUTED_VALUE"""),"Post 2")</f>
        <v>Post 2</v>
      </c>
      <c r="C9" s="2" t="str">
        <f>IFERROR(__xludf.DUMMYFUNCTION("""COMPUTED_VALUE"""),"LAG 71")</f>
        <v>LAG 71</v>
      </c>
      <c r="D9" s="2">
        <f>IFERROR(__xludf.DUMMYFUNCTION("""COMPUTED_VALUE"""),15.0)</f>
        <v>15</v>
      </c>
      <c r="E9" s="2" t="str">
        <f>IFERROR(__xludf.DUMMYFUNCTION("""COMPUTED_VALUE"""),"Mixlag")</f>
        <v>Mixlag</v>
      </c>
    </row>
    <row r="10" ht="15.75" customHeight="1">
      <c r="A10" s="18">
        <f>IFERROR(__xludf.DUMMYFUNCTION("""COMPUTED_VALUE"""),45857.46323592593)</f>
        <v>45857.46324</v>
      </c>
      <c r="B10" s="2" t="str">
        <f>IFERROR(__xludf.DUMMYFUNCTION("""COMPUTED_VALUE"""),"Post 18")</f>
        <v>Post 18</v>
      </c>
      <c r="C10" s="2" t="str">
        <f>IFERROR(__xludf.DUMMYFUNCTION("""COMPUTED_VALUE"""),"LAG 81")</f>
        <v>LAG 81</v>
      </c>
      <c r="D10" s="2">
        <f>IFERROR(__xludf.DUMMYFUNCTION("""COMPUTED_VALUE"""),10.0)</f>
        <v>10</v>
      </c>
      <c r="E10" s="2" t="str">
        <f>IFERROR(__xludf.DUMMYFUNCTION("""COMPUTED_VALUE"""),"Herrelag")</f>
        <v>Herrelag</v>
      </c>
    </row>
    <row r="11" ht="15.75" customHeight="1">
      <c r="A11" s="18">
        <f>IFERROR(__xludf.DUMMYFUNCTION("""COMPUTED_VALUE"""),45857.46340112269)</f>
        <v>45857.4634</v>
      </c>
      <c r="B11" s="2" t="str">
        <f>IFERROR(__xludf.DUMMYFUNCTION("""COMPUTED_VALUE"""),"Post 6")</f>
        <v>Post 6</v>
      </c>
      <c r="C11" s="2" t="str">
        <f>IFERROR(__xludf.DUMMYFUNCTION("""COMPUTED_VALUE"""),"LAG 17")</f>
        <v>LAG 17</v>
      </c>
      <c r="D11" s="2">
        <f>IFERROR(__xludf.DUMMYFUNCTION("""COMPUTED_VALUE"""),20.0)</f>
        <v>20</v>
      </c>
      <c r="E11" s="2" t="str">
        <f>IFERROR(__xludf.DUMMYFUNCTION("""COMPUTED_VALUE"""),"Damelag")</f>
        <v>Damelag</v>
      </c>
    </row>
    <row r="12" ht="15.75" customHeight="1">
      <c r="A12" s="18">
        <f>IFERROR(__xludf.DUMMYFUNCTION("""COMPUTED_VALUE"""),45857.46377425926)</f>
        <v>45857.46377</v>
      </c>
      <c r="B12" s="2" t="str">
        <f>IFERROR(__xludf.DUMMYFUNCTION("""COMPUTED_VALUE"""),"Post 12")</f>
        <v>Post 12</v>
      </c>
      <c r="C12" s="2" t="str">
        <f>IFERROR(__xludf.DUMMYFUNCTION("""COMPUTED_VALUE"""),"LAG 33")</f>
        <v>LAG 33</v>
      </c>
      <c r="D12" s="2">
        <f>IFERROR(__xludf.DUMMYFUNCTION("""COMPUTED_VALUE"""),15.0)</f>
        <v>15</v>
      </c>
      <c r="E12" s="2" t="str">
        <f>IFERROR(__xludf.DUMMYFUNCTION("""COMPUTED_VALUE"""),"Herrelag")</f>
        <v>Herrelag</v>
      </c>
    </row>
    <row r="13" ht="15.75" customHeight="1">
      <c r="A13" s="18">
        <f>IFERROR(__xludf.DUMMYFUNCTION("""COMPUTED_VALUE"""),45857.464157361115)</f>
        <v>45857.46416</v>
      </c>
      <c r="B13" s="2" t="str">
        <f>IFERROR(__xludf.DUMMYFUNCTION("""COMPUTED_VALUE"""),"Post 2")</f>
        <v>Post 2</v>
      </c>
      <c r="C13" s="2" t="str">
        <f>IFERROR(__xludf.DUMMYFUNCTION("""COMPUTED_VALUE"""),"LAG 1")</f>
        <v>LAG 1</v>
      </c>
      <c r="D13" s="2">
        <f>IFERROR(__xludf.DUMMYFUNCTION("""COMPUTED_VALUE"""),15.0)</f>
        <v>15</v>
      </c>
      <c r="E13" s="2" t="str">
        <f>IFERROR(__xludf.DUMMYFUNCTION("""COMPUTED_VALUE"""),"Damelag")</f>
        <v>Damelag</v>
      </c>
    </row>
    <row r="14" ht="15.75" customHeight="1">
      <c r="A14" s="18">
        <f>IFERROR(__xludf.DUMMYFUNCTION("""COMPUTED_VALUE"""),45857.464362314815)</f>
        <v>45857.46436</v>
      </c>
      <c r="B14" s="2" t="str">
        <f>IFERROR(__xludf.DUMMYFUNCTION("""COMPUTED_VALUE"""),"Post 18")</f>
        <v>Post 18</v>
      </c>
      <c r="C14" s="2" t="str">
        <f>IFERROR(__xludf.DUMMYFUNCTION("""COMPUTED_VALUE"""),"LAG 59")</f>
        <v>LAG 59</v>
      </c>
      <c r="D14" s="2">
        <f>IFERROR(__xludf.DUMMYFUNCTION("""COMPUTED_VALUE"""),7.0)</f>
        <v>7</v>
      </c>
      <c r="E14" s="2" t="str">
        <f>IFERROR(__xludf.DUMMYFUNCTION("""COMPUTED_VALUE"""),"Damelag")</f>
        <v>Damelag</v>
      </c>
    </row>
    <row r="15" ht="15.75" customHeight="1">
      <c r="A15" s="18">
        <f>IFERROR(__xludf.DUMMYFUNCTION("""COMPUTED_VALUE"""),45857.46487026621)</f>
        <v>45857.46487</v>
      </c>
      <c r="B15" s="2" t="str">
        <f>IFERROR(__xludf.DUMMYFUNCTION("""COMPUTED_VALUE"""),"Post 4")</f>
        <v>Post 4</v>
      </c>
      <c r="C15" s="2" t="str">
        <f>IFERROR(__xludf.DUMMYFUNCTION("""COMPUTED_VALUE"""),"LAG 17")</f>
        <v>LAG 17</v>
      </c>
      <c r="D15" s="2">
        <f>IFERROR(__xludf.DUMMYFUNCTION("""COMPUTED_VALUE"""),15.0)</f>
        <v>15</v>
      </c>
      <c r="E15" s="2" t="str">
        <f>IFERROR(__xludf.DUMMYFUNCTION("""COMPUTED_VALUE"""),"Damelag")</f>
        <v>Damelag</v>
      </c>
    </row>
    <row r="16" ht="15.75" customHeight="1">
      <c r="A16" s="18">
        <f>IFERROR(__xludf.DUMMYFUNCTION("""COMPUTED_VALUE"""),45857.46495224537)</f>
        <v>45857.46495</v>
      </c>
      <c r="B16" s="2" t="str">
        <f>IFERROR(__xludf.DUMMYFUNCTION("""COMPUTED_VALUE"""),"Post 2")</f>
        <v>Post 2</v>
      </c>
      <c r="C16" s="2" t="str">
        <f>IFERROR(__xludf.DUMMYFUNCTION("""COMPUTED_VALUE"""),"LAG 53")</f>
        <v>LAG 53</v>
      </c>
      <c r="D16" s="2">
        <f>IFERROR(__xludf.DUMMYFUNCTION("""COMPUTED_VALUE"""),15.0)</f>
        <v>15</v>
      </c>
      <c r="E16" s="2" t="str">
        <f>IFERROR(__xludf.DUMMYFUNCTION("""COMPUTED_VALUE"""),"Damelag")</f>
        <v>Damelag</v>
      </c>
    </row>
    <row r="17" ht="15.75" customHeight="1">
      <c r="A17" s="18">
        <f>IFERROR(__xludf.DUMMYFUNCTION("""COMPUTED_VALUE"""),45857.46507118056)</f>
        <v>45857.46507</v>
      </c>
      <c r="B17" s="2" t="str">
        <f>IFERROR(__xludf.DUMMYFUNCTION("""COMPUTED_VALUE"""),"Post 12")</f>
        <v>Post 12</v>
      </c>
      <c r="C17" s="2" t="str">
        <f>IFERROR(__xludf.DUMMYFUNCTION("""COMPUTED_VALUE"""),"LAG 2")</f>
        <v>LAG 2</v>
      </c>
      <c r="D17" s="2">
        <f>IFERROR(__xludf.DUMMYFUNCTION("""COMPUTED_VALUE"""),15.0)</f>
        <v>15</v>
      </c>
      <c r="E17" s="2" t="str">
        <f>IFERROR(__xludf.DUMMYFUNCTION("""COMPUTED_VALUE"""),"Damelag")</f>
        <v>Damelag</v>
      </c>
    </row>
    <row r="18" ht="15.75" customHeight="1">
      <c r="A18" s="18">
        <f>IFERROR(__xludf.DUMMYFUNCTION("""COMPUTED_VALUE"""),45857.46525857639)</f>
        <v>45857.46526</v>
      </c>
      <c r="B18" s="2" t="str">
        <f>IFERROR(__xludf.DUMMYFUNCTION("""COMPUTED_VALUE"""),"Post 6")</f>
        <v>Post 6</v>
      </c>
      <c r="C18" s="2" t="str">
        <f>IFERROR(__xludf.DUMMYFUNCTION("""COMPUTED_VALUE"""),"LAG 72")</f>
        <v>LAG 72</v>
      </c>
      <c r="D18" s="2">
        <f>IFERROR(__xludf.DUMMYFUNCTION("""COMPUTED_VALUE"""),16.0)</f>
        <v>16</v>
      </c>
      <c r="E18" s="2" t="str">
        <f>IFERROR(__xludf.DUMMYFUNCTION("""COMPUTED_VALUE"""),"Herrelag")</f>
        <v>Herrelag</v>
      </c>
    </row>
    <row r="19" ht="15.75" customHeight="1">
      <c r="A19" s="18">
        <f>IFERROR(__xludf.DUMMYFUNCTION("""COMPUTED_VALUE"""),45857.46561358796)</f>
        <v>45857.46561</v>
      </c>
      <c r="B19" s="2" t="str">
        <f>IFERROR(__xludf.DUMMYFUNCTION("""COMPUTED_VALUE"""),"Post 18")</f>
        <v>Post 18</v>
      </c>
      <c r="C19" s="2" t="str">
        <f>IFERROR(__xludf.DUMMYFUNCTION("""COMPUTED_VALUE"""),"LAG 37")</f>
        <v>LAG 37</v>
      </c>
      <c r="D19" s="2">
        <f>IFERROR(__xludf.DUMMYFUNCTION("""COMPUTED_VALUE"""),12.0)</f>
        <v>12</v>
      </c>
      <c r="E19" s="2" t="str">
        <f>IFERROR(__xludf.DUMMYFUNCTION("""COMPUTED_VALUE"""),"Herrelag")</f>
        <v>Herrelag</v>
      </c>
    </row>
    <row r="20" ht="15.75" customHeight="1">
      <c r="A20" s="18">
        <f>IFERROR(__xludf.DUMMYFUNCTION("""COMPUTED_VALUE"""),45857.46566689815)</f>
        <v>45857.46567</v>
      </c>
      <c r="B20" s="2" t="str">
        <f>IFERROR(__xludf.DUMMYFUNCTION("""COMPUTED_VALUE"""),"Post 2")</f>
        <v>Post 2</v>
      </c>
      <c r="C20" s="2" t="str">
        <f>IFERROR(__xludf.DUMMYFUNCTION("""COMPUTED_VALUE"""),"LAG 31")</f>
        <v>LAG 31</v>
      </c>
      <c r="D20" s="2">
        <f>IFERROR(__xludf.DUMMYFUNCTION("""COMPUTED_VALUE"""),15.0)</f>
        <v>15</v>
      </c>
      <c r="E20" s="2" t="str">
        <f>IFERROR(__xludf.DUMMYFUNCTION("""COMPUTED_VALUE"""),"Mixlag")</f>
        <v>Mixlag</v>
      </c>
    </row>
    <row r="21" ht="15.75" customHeight="1">
      <c r="A21" s="18">
        <f>IFERROR(__xludf.DUMMYFUNCTION("""COMPUTED_VALUE"""),45857.465741990745)</f>
        <v>45857.46574</v>
      </c>
      <c r="B21" s="2" t="str">
        <f>IFERROR(__xludf.DUMMYFUNCTION("""COMPUTED_VALUE"""),"Post 8")</f>
        <v>Post 8</v>
      </c>
      <c r="C21" s="2" t="str">
        <f>IFERROR(__xludf.DUMMYFUNCTION("""COMPUTED_VALUE"""),"LAG 6")</f>
        <v>LAG 6</v>
      </c>
      <c r="D21" s="2">
        <f>IFERROR(__xludf.DUMMYFUNCTION("""COMPUTED_VALUE"""),4.0)</f>
        <v>4</v>
      </c>
      <c r="E21" s="2" t="str">
        <f>IFERROR(__xludf.DUMMYFUNCTION("""COMPUTED_VALUE"""),"Mixlag")</f>
        <v>Mixlag</v>
      </c>
    </row>
    <row r="22" ht="15.75" customHeight="1">
      <c r="A22" s="18">
        <f>IFERROR(__xludf.DUMMYFUNCTION("""COMPUTED_VALUE"""),45857.465800729165)</f>
        <v>45857.4658</v>
      </c>
      <c r="B22" s="2" t="str">
        <f>IFERROR(__xludf.DUMMYFUNCTION("""COMPUTED_VALUE"""),"Post 9")</f>
        <v>Post 9</v>
      </c>
      <c r="C22" s="2" t="str">
        <f>IFERROR(__xludf.DUMMYFUNCTION("""COMPUTED_VALUE"""),"LAG 75")</f>
        <v>LAG 75</v>
      </c>
      <c r="D22" s="2">
        <f>IFERROR(__xludf.DUMMYFUNCTION("""COMPUTED_VALUE"""),16.0)</f>
        <v>16</v>
      </c>
      <c r="E22" s="2" t="str">
        <f>IFERROR(__xludf.DUMMYFUNCTION("""COMPUTED_VALUE"""),"Herrelag")</f>
        <v>Herrelag</v>
      </c>
    </row>
    <row r="23" ht="15.75" customHeight="1">
      <c r="A23" s="18">
        <f>IFERROR(__xludf.DUMMYFUNCTION("""COMPUTED_VALUE"""),45857.466312951394)</f>
        <v>45857.46631</v>
      </c>
      <c r="B23" s="2" t="str">
        <f>IFERROR(__xludf.DUMMYFUNCTION("""COMPUTED_VALUE"""),"Post 4")</f>
        <v>Post 4</v>
      </c>
      <c r="C23" s="2" t="str">
        <f>IFERROR(__xludf.DUMMYFUNCTION("""COMPUTED_VALUE"""),"LAG 33")</f>
        <v>LAG 33</v>
      </c>
      <c r="D23" s="2">
        <f>IFERROR(__xludf.DUMMYFUNCTION("""COMPUTED_VALUE"""),15.0)</f>
        <v>15</v>
      </c>
      <c r="E23" s="2" t="str">
        <f>IFERROR(__xludf.DUMMYFUNCTION("""COMPUTED_VALUE"""),"Herrelag")</f>
        <v>Herrelag</v>
      </c>
    </row>
    <row r="24" ht="15.75" customHeight="1">
      <c r="A24" s="18">
        <f>IFERROR(__xludf.DUMMYFUNCTION("""COMPUTED_VALUE"""),45857.466324953704)</f>
        <v>45857.46632</v>
      </c>
      <c r="B24" s="2" t="str">
        <f>IFERROR(__xludf.DUMMYFUNCTION("""COMPUTED_VALUE"""),"Post 10")</f>
        <v>Post 10</v>
      </c>
      <c r="C24" s="2" t="str">
        <f>IFERROR(__xludf.DUMMYFUNCTION("""COMPUTED_VALUE"""),"LAG 16")</f>
        <v>LAG 16</v>
      </c>
      <c r="D24" s="2">
        <f>IFERROR(__xludf.DUMMYFUNCTION("""COMPUTED_VALUE"""),15.0)</f>
        <v>15</v>
      </c>
      <c r="E24" s="2" t="str">
        <f>IFERROR(__xludf.DUMMYFUNCTION("""COMPUTED_VALUE"""),"Herrelag")</f>
        <v>Herrelag</v>
      </c>
    </row>
    <row r="25" ht="15.75" customHeight="1">
      <c r="A25" s="18">
        <f>IFERROR(__xludf.DUMMYFUNCTION("""COMPUTED_VALUE"""),45857.46669877315)</f>
        <v>45857.4667</v>
      </c>
      <c r="B25" s="2" t="str">
        <f>IFERROR(__xludf.DUMMYFUNCTION("""COMPUTED_VALUE"""),"Post 18")</f>
        <v>Post 18</v>
      </c>
      <c r="C25" s="2" t="str">
        <f>IFERROR(__xludf.DUMMYFUNCTION("""COMPUTED_VALUE"""),"LAG 14")</f>
        <v>LAG 14</v>
      </c>
      <c r="D25" s="2">
        <f>IFERROR(__xludf.DUMMYFUNCTION("""COMPUTED_VALUE"""),10.0)</f>
        <v>10</v>
      </c>
      <c r="E25" s="2" t="str">
        <f>IFERROR(__xludf.DUMMYFUNCTION("""COMPUTED_VALUE"""),"Mixlag")</f>
        <v>Mixlag</v>
      </c>
    </row>
    <row r="26" ht="15.75" customHeight="1">
      <c r="A26" s="18">
        <f>IFERROR(__xludf.DUMMYFUNCTION("""COMPUTED_VALUE"""),45857.46740163195)</f>
        <v>45857.4674</v>
      </c>
      <c r="B26" s="2" t="str">
        <f>IFERROR(__xludf.DUMMYFUNCTION("""COMPUTED_VALUE"""),"Post 12")</f>
        <v>Post 12</v>
      </c>
      <c r="C26" s="2" t="str">
        <f>IFERROR(__xludf.DUMMYFUNCTION("""COMPUTED_VALUE"""),"LAG 59")</f>
        <v>LAG 59</v>
      </c>
      <c r="D26" s="2">
        <f>IFERROR(__xludf.DUMMYFUNCTION("""COMPUTED_VALUE"""),15.0)</f>
        <v>15</v>
      </c>
      <c r="E26" s="2" t="str">
        <f>IFERROR(__xludf.DUMMYFUNCTION("""COMPUTED_VALUE"""),"Damelag")</f>
        <v>Damelag</v>
      </c>
    </row>
    <row r="27" ht="15.75" customHeight="1">
      <c r="A27" s="18">
        <f>IFERROR(__xludf.DUMMYFUNCTION("""COMPUTED_VALUE"""),45857.46758991898)</f>
        <v>45857.46759</v>
      </c>
      <c r="B27" s="2" t="str">
        <f>IFERROR(__xludf.DUMMYFUNCTION("""COMPUTED_VALUE"""),"Post 15")</f>
        <v>Post 15</v>
      </c>
      <c r="C27" s="2" t="str">
        <f>IFERROR(__xludf.DUMMYFUNCTION("""COMPUTED_VALUE"""),"LAG 55")</f>
        <v>LAG 55</v>
      </c>
      <c r="D27" s="2">
        <f>IFERROR(__xludf.DUMMYFUNCTION("""COMPUTED_VALUE"""),20.0)</f>
        <v>20</v>
      </c>
      <c r="E27" s="2" t="str">
        <f>IFERROR(__xludf.DUMMYFUNCTION("""COMPUTED_VALUE"""),"Damelag")</f>
        <v>Damelag</v>
      </c>
    </row>
    <row r="28" ht="15.75" customHeight="1">
      <c r="A28" s="18">
        <f>IFERROR(__xludf.DUMMYFUNCTION("""COMPUTED_VALUE"""),45857.467748668976)</f>
        <v>45857.46775</v>
      </c>
      <c r="B28" s="2" t="str">
        <f>IFERROR(__xludf.DUMMYFUNCTION("""COMPUTED_VALUE"""),"Post 15")</f>
        <v>Post 15</v>
      </c>
      <c r="C28" s="2" t="str">
        <f>IFERROR(__xludf.DUMMYFUNCTION("""COMPUTED_VALUE"""),"LAG 16")</f>
        <v>LAG 16</v>
      </c>
      <c r="D28" s="2">
        <f>IFERROR(__xludf.DUMMYFUNCTION("""COMPUTED_VALUE"""),20.0)</f>
        <v>20</v>
      </c>
      <c r="E28" s="2" t="str">
        <f>IFERROR(__xludf.DUMMYFUNCTION("""COMPUTED_VALUE"""),"Damelag")</f>
        <v>Damelag</v>
      </c>
    </row>
    <row r="29" ht="15.75" customHeight="1">
      <c r="A29" s="18">
        <f>IFERROR(__xludf.DUMMYFUNCTION("""COMPUTED_VALUE"""),45857.46792802084)</f>
        <v>45857.46793</v>
      </c>
      <c r="B29" s="2" t="str">
        <f>IFERROR(__xludf.DUMMYFUNCTION("""COMPUTED_VALUE"""),"Post 4")</f>
        <v>Post 4</v>
      </c>
      <c r="C29" s="2" t="str">
        <f>IFERROR(__xludf.DUMMYFUNCTION("""COMPUTED_VALUE"""),"LAG 38")</f>
        <v>LAG 38</v>
      </c>
      <c r="D29" s="2">
        <f>IFERROR(__xludf.DUMMYFUNCTION("""COMPUTED_VALUE"""),10.0)</f>
        <v>10</v>
      </c>
      <c r="E29" s="2" t="str">
        <f>IFERROR(__xludf.DUMMYFUNCTION("""COMPUTED_VALUE"""),"Damelag")</f>
        <v>Damelag</v>
      </c>
    </row>
    <row r="30" ht="15.75" customHeight="1">
      <c r="A30" s="18">
        <f>IFERROR(__xludf.DUMMYFUNCTION("""COMPUTED_VALUE"""),45857.46838947917)</f>
        <v>45857.46839</v>
      </c>
      <c r="B30" s="2" t="str">
        <f>IFERROR(__xludf.DUMMYFUNCTION("""COMPUTED_VALUE"""),"Post 6")</f>
        <v>Post 6</v>
      </c>
      <c r="C30" s="2" t="str">
        <f>IFERROR(__xludf.DUMMYFUNCTION("""COMPUTED_VALUE"""),"LAG 15")</f>
        <v>LAG 15</v>
      </c>
      <c r="D30" s="2">
        <f>IFERROR(__xludf.DUMMYFUNCTION("""COMPUTED_VALUE"""),16.0)</f>
        <v>16</v>
      </c>
      <c r="E30" s="2" t="str">
        <f>IFERROR(__xludf.DUMMYFUNCTION("""COMPUTED_VALUE"""),"Herrelag")</f>
        <v>Herrelag</v>
      </c>
    </row>
    <row r="31" ht="15.75" customHeight="1">
      <c r="A31" s="18">
        <f>IFERROR(__xludf.DUMMYFUNCTION("""COMPUTED_VALUE"""),45857.46862344907)</f>
        <v>45857.46862</v>
      </c>
      <c r="B31" s="2" t="str">
        <f>IFERROR(__xludf.DUMMYFUNCTION("""COMPUTED_VALUE"""),"Post 15")</f>
        <v>Post 15</v>
      </c>
      <c r="C31" s="2" t="str">
        <f>IFERROR(__xludf.DUMMYFUNCTION("""COMPUTED_VALUE"""),"LAG 76")</f>
        <v>LAG 76</v>
      </c>
      <c r="D31" s="2">
        <f>IFERROR(__xludf.DUMMYFUNCTION("""COMPUTED_VALUE"""),15.0)</f>
        <v>15</v>
      </c>
      <c r="E31" s="2" t="str">
        <f>IFERROR(__xludf.DUMMYFUNCTION("""COMPUTED_VALUE"""),"Mixlag")</f>
        <v>Mixlag</v>
      </c>
    </row>
    <row r="32" ht="15.75" customHeight="1">
      <c r="A32" s="18">
        <f>IFERROR(__xludf.DUMMYFUNCTION("""COMPUTED_VALUE"""),45857.468660011575)</f>
        <v>45857.46866</v>
      </c>
      <c r="B32" s="2" t="str">
        <f>IFERROR(__xludf.DUMMYFUNCTION("""COMPUTED_VALUE"""),"Post 10")</f>
        <v>Post 10</v>
      </c>
      <c r="C32" s="2" t="str">
        <f>IFERROR(__xludf.DUMMYFUNCTION("""COMPUTED_VALUE"""),"LAG 6")</f>
        <v>LAG 6</v>
      </c>
      <c r="D32" s="2">
        <f>IFERROR(__xludf.DUMMYFUNCTION("""COMPUTED_VALUE"""),15.0)</f>
        <v>15</v>
      </c>
      <c r="E32" s="2" t="str">
        <f>IFERROR(__xludf.DUMMYFUNCTION("""COMPUTED_VALUE"""),"Mixlag")</f>
        <v>Mixlag</v>
      </c>
    </row>
    <row r="33" ht="15.75" customHeight="1">
      <c r="A33" s="18">
        <f>IFERROR(__xludf.DUMMYFUNCTION("""COMPUTED_VALUE"""),45857.46876309028)</f>
        <v>45857.46876</v>
      </c>
      <c r="B33" s="2" t="str">
        <f>IFERROR(__xludf.DUMMYFUNCTION("""COMPUTED_VALUE"""),"Post 8")</f>
        <v>Post 8</v>
      </c>
      <c r="C33" s="2" t="str">
        <f>IFERROR(__xludf.DUMMYFUNCTION("""COMPUTED_VALUE"""),"LAG 16")</f>
        <v>LAG 16</v>
      </c>
      <c r="D33" s="2">
        <f>IFERROR(__xludf.DUMMYFUNCTION("""COMPUTED_VALUE"""),6.0)</f>
        <v>6</v>
      </c>
      <c r="E33" s="2" t="str">
        <f>IFERROR(__xludf.DUMMYFUNCTION("""COMPUTED_VALUE"""),"Herrelag")</f>
        <v>Herrelag</v>
      </c>
    </row>
    <row r="34" ht="15.75" customHeight="1">
      <c r="A34" s="18">
        <f>IFERROR(__xludf.DUMMYFUNCTION("""COMPUTED_VALUE"""),45857.46875972222)</f>
        <v>45857.46876</v>
      </c>
      <c r="B34" s="2" t="str">
        <f>IFERROR(__xludf.DUMMYFUNCTION("""COMPUTED_VALUE"""),"Post 6")</f>
        <v>Post 6</v>
      </c>
      <c r="C34" s="2" t="str">
        <f>IFERROR(__xludf.DUMMYFUNCTION("""COMPUTED_VALUE"""),"LAG 14")</f>
        <v>LAG 14</v>
      </c>
      <c r="D34" s="2">
        <f>IFERROR(__xludf.DUMMYFUNCTION("""COMPUTED_VALUE"""),16.0)</f>
        <v>16</v>
      </c>
      <c r="E34" s="2" t="str">
        <f>IFERROR(__xludf.DUMMYFUNCTION("""COMPUTED_VALUE"""),"Damelag")</f>
        <v>Damelag</v>
      </c>
    </row>
    <row r="35" ht="15.75" customHeight="1">
      <c r="A35" s="18">
        <f>IFERROR(__xludf.DUMMYFUNCTION("""COMPUTED_VALUE"""),45857.468853495375)</f>
        <v>45857.46885</v>
      </c>
      <c r="B35" s="2" t="str">
        <f>IFERROR(__xludf.DUMMYFUNCTION("""COMPUTED_VALUE"""),"Post 18")</f>
        <v>Post 18</v>
      </c>
      <c r="C35" s="2" t="str">
        <f>IFERROR(__xludf.DUMMYFUNCTION("""COMPUTED_VALUE"""),"LAG 68")</f>
        <v>LAG 68</v>
      </c>
      <c r="D35" s="2">
        <f>IFERROR(__xludf.DUMMYFUNCTION("""COMPUTED_VALUE"""),15.0)</f>
        <v>15</v>
      </c>
      <c r="E35" s="2" t="str">
        <f>IFERROR(__xludf.DUMMYFUNCTION("""COMPUTED_VALUE"""),"Herrelag")</f>
        <v>Herrelag</v>
      </c>
    </row>
    <row r="36" ht="15.75" customHeight="1">
      <c r="A36" s="18">
        <f>IFERROR(__xludf.DUMMYFUNCTION("""COMPUTED_VALUE"""),45857.469487800925)</f>
        <v>45857.46949</v>
      </c>
      <c r="B36" s="2" t="str">
        <f>IFERROR(__xludf.DUMMYFUNCTION("""COMPUTED_VALUE"""),"Post 4")</f>
        <v>Post 4</v>
      </c>
      <c r="C36" s="2" t="str">
        <f>IFERROR(__xludf.DUMMYFUNCTION("""COMPUTED_VALUE"""),"LAG 59")</f>
        <v>LAG 59</v>
      </c>
      <c r="D36" s="2">
        <f>IFERROR(__xludf.DUMMYFUNCTION("""COMPUTED_VALUE"""),15.0)</f>
        <v>15</v>
      </c>
      <c r="E36" s="2" t="str">
        <f>IFERROR(__xludf.DUMMYFUNCTION("""COMPUTED_VALUE"""),"Damelag")</f>
        <v>Damelag</v>
      </c>
    </row>
    <row r="37" ht="15.75" customHeight="1">
      <c r="A37" s="18">
        <f>IFERROR(__xludf.DUMMYFUNCTION("""COMPUTED_VALUE"""),45857.469671307874)</f>
        <v>45857.46967</v>
      </c>
      <c r="B37" s="2" t="str">
        <f>IFERROR(__xludf.DUMMYFUNCTION("""COMPUTED_VALUE"""),"Post 9")</f>
        <v>Post 9</v>
      </c>
      <c r="C37" s="2" t="str">
        <f>IFERROR(__xludf.DUMMYFUNCTION("""COMPUTED_VALUE"""),"LAG 82")</f>
        <v>LAG 82</v>
      </c>
      <c r="D37" s="2">
        <f>IFERROR(__xludf.DUMMYFUNCTION("""COMPUTED_VALUE"""),20.0)</f>
        <v>20</v>
      </c>
      <c r="E37" s="2" t="str">
        <f>IFERROR(__xludf.DUMMYFUNCTION("""COMPUTED_VALUE"""),"Mixlag")</f>
        <v>Mixlag</v>
      </c>
    </row>
    <row r="38" ht="15.75" customHeight="1">
      <c r="A38" s="18">
        <f>IFERROR(__xludf.DUMMYFUNCTION("""COMPUTED_VALUE"""),45857.46994077547)</f>
        <v>45857.46994</v>
      </c>
      <c r="B38" s="2" t="str">
        <f>IFERROR(__xludf.DUMMYFUNCTION("""COMPUTED_VALUE"""),"Post 18")</f>
        <v>Post 18</v>
      </c>
      <c r="C38" s="2" t="str">
        <f>IFERROR(__xludf.DUMMYFUNCTION("""COMPUTED_VALUE"""),"LAG 15")</f>
        <v>LAG 15</v>
      </c>
      <c r="D38" s="2">
        <f>IFERROR(__xludf.DUMMYFUNCTION("""COMPUTED_VALUE"""),17.0)</f>
        <v>17</v>
      </c>
      <c r="E38" s="2" t="str">
        <f>IFERROR(__xludf.DUMMYFUNCTION("""COMPUTED_VALUE"""),"Herrelag")</f>
        <v>Herrelag</v>
      </c>
    </row>
    <row r="39" ht="15.75" customHeight="1">
      <c r="A39" s="18">
        <f>IFERROR(__xludf.DUMMYFUNCTION("""COMPUTED_VALUE"""),45857.470923622684)</f>
        <v>45857.47092</v>
      </c>
      <c r="B39" s="2" t="str">
        <f>IFERROR(__xludf.DUMMYFUNCTION("""COMPUTED_VALUE"""),"Post 10")</f>
        <v>Post 10</v>
      </c>
      <c r="C39" s="2" t="str">
        <f>IFERROR(__xludf.DUMMYFUNCTION("""COMPUTED_VALUE"""),"LAG 53")</f>
        <v>LAG 53</v>
      </c>
      <c r="D39" s="2">
        <f>IFERROR(__xludf.DUMMYFUNCTION("""COMPUTED_VALUE"""),15.0)</f>
        <v>15</v>
      </c>
      <c r="E39" s="2" t="str">
        <f>IFERROR(__xludf.DUMMYFUNCTION("""COMPUTED_VALUE"""),"Damelag")</f>
        <v>Damelag</v>
      </c>
    </row>
    <row r="40" ht="15.75" customHeight="1">
      <c r="A40" s="18">
        <f>IFERROR(__xludf.DUMMYFUNCTION("""COMPUTED_VALUE"""),45857.470935115736)</f>
        <v>45857.47094</v>
      </c>
      <c r="B40" s="2" t="str">
        <f>IFERROR(__xludf.DUMMYFUNCTION("""COMPUTED_VALUE"""),"Post 12")</f>
        <v>Post 12</v>
      </c>
      <c r="C40" s="2" t="str">
        <f>IFERROR(__xludf.DUMMYFUNCTION("""COMPUTED_VALUE"""),"LAG 31")</f>
        <v>LAG 31</v>
      </c>
      <c r="D40" s="2">
        <f>IFERROR(__xludf.DUMMYFUNCTION("""COMPUTED_VALUE"""),14.0)</f>
        <v>14</v>
      </c>
      <c r="E40" s="2" t="str">
        <f>IFERROR(__xludf.DUMMYFUNCTION("""COMPUTED_VALUE"""),"Mixlag")</f>
        <v>Mixlag</v>
      </c>
    </row>
    <row r="41" ht="15.75" customHeight="1">
      <c r="A41" s="18">
        <f>IFERROR(__xludf.DUMMYFUNCTION("""COMPUTED_VALUE"""),45857.471045370374)</f>
        <v>45857.47105</v>
      </c>
      <c r="B41" s="2" t="str">
        <f>IFERROR(__xludf.DUMMYFUNCTION("""COMPUTED_VALUE"""),"Post 8")</f>
        <v>Post 8</v>
      </c>
      <c r="C41" s="2" t="str">
        <f>IFERROR(__xludf.DUMMYFUNCTION("""COMPUTED_VALUE"""),"LAG 83")</f>
        <v>LAG 83</v>
      </c>
      <c r="D41" s="2">
        <f>IFERROR(__xludf.DUMMYFUNCTION("""COMPUTED_VALUE"""),7.0)</f>
        <v>7</v>
      </c>
      <c r="E41" s="2" t="str">
        <f>IFERROR(__xludf.DUMMYFUNCTION("""COMPUTED_VALUE"""),"Herrelag")</f>
        <v>Herrelag</v>
      </c>
    </row>
    <row r="42" ht="15.75" customHeight="1">
      <c r="A42" s="18">
        <f>IFERROR(__xludf.DUMMYFUNCTION("""COMPUTED_VALUE"""),45857.471219976855)</f>
        <v>45857.47122</v>
      </c>
      <c r="B42" s="2" t="str">
        <f>IFERROR(__xludf.DUMMYFUNCTION("""COMPUTED_VALUE"""),"Post 15")</f>
        <v>Post 15</v>
      </c>
      <c r="C42" s="2" t="str">
        <f>IFERROR(__xludf.DUMMYFUNCTION("""COMPUTED_VALUE"""),"LAG 67")</f>
        <v>LAG 67</v>
      </c>
      <c r="D42" s="2">
        <f>IFERROR(__xludf.DUMMYFUNCTION("""COMPUTED_VALUE"""),20.0)</f>
        <v>20</v>
      </c>
      <c r="E42" s="2" t="str">
        <f>IFERROR(__xludf.DUMMYFUNCTION("""COMPUTED_VALUE"""),"Damelag")</f>
        <v>Damelag</v>
      </c>
    </row>
    <row r="43" ht="15.75" customHeight="1">
      <c r="A43" s="18">
        <f>IFERROR(__xludf.DUMMYFUNCTION("""COMPUTED_VALUE"""),45857.471620937504)</f>
        <v>45857.47162</v>
      </c>
      <c r="B43" s="2" t="str">
        <f>IFERROR(__xludf.DUMMYFUNCTION("""COMPUTED_VALUE"""),"Post 4")</f>
        <v>Post 4</v>
      </c>
      <c r="C43" s="2" t="str">
        <f>IFERROR(__xludf.DUMMYFUNCTION("""COMPUTED_VALUE"""),"LAG 2")</f>
        <v>LAG 2</v>
      </c>
      <c r="D43" s="2">
        <f>IFERROR(__xludf.DUMMYFUNCTION("""COMPUTED_VALUE"""),15.0)</f>
        <v>15</v>
      </c>
      <c r="E43" s="2" t="str">
        <f>IFERROR(__xludf.DUMMYFUNCTION("""COMPUTED_VALUE"""),"Damelag")</f>
        <v>Damelag</v>
      </c>
    </row>
    <row r="44" ht="15.75" customHeight="1">
      <c r="A44" s="18">
        <f>IFERROR(__xludf.DUMMYFUNCTION("""COMPUTED_VALUE"""),45857.47221017361)</f>
        <v>45857.47221</v>
      </c>
      <c r="B44" s="2" t="str">
        <f>IFERROR(__xludf.DUMMYFUNCTION("""COMPUTED_VALUE"""),"Post 18")</f>
        <v>Post 18</v>
      </c>
      <c r="C44" s="2" t="str">
        <f>IFERROR(__xludf.DUMMYFUNCTION("""COMPUTED_VALUE"""),"LAG 26")</f>
        <v>LAG 26</v>
      </c>
      <c r="D44" s="2">
        <f>IFERROR(__xludf.DUMMYFUNCTION("""COMPUTED_VALUE"""),7.0)</f>
        <v>7</v>
      </c>
      <c r="E44" s="2" t="str">
        <f>IFERROR(__xludf.DUMMYFUNCTION("""COMPUTED_VALUE"""),"Damelag")</f>
        <v>Damelag</v>
      </c>
    </row>
    <row r="45" ht="15.75" customHeight="1">
      <c r="A45" s="18">
        <f>IFERROR(__xludf.DUMMYFUNCTION("""COMPUTED_VALUE"""),45857.472761875004)</f>
        <v>45857.47276</v>
      </c>
      <c r="B45" s="2" t="str">
        <f>IFERROR(__xludf.DUMMYFUNCTION("""COMPUTED_VALUE"""),"Post 15")</f>
        <v>Post 15</v>
      </c>
      <c r="C45" s="2" t="str">
        <f>IFERROR(__xludf.DUMMYFUNCTION("""COMPUTED_VALUE"""),"LAG 15")</f>
        <v>LAG 15</v>
      </c>
      <c r="D45" s="2">
        <f>IFERROR(__xludf.DUMMYFUNCTION("""COMPUTED_VALUE"""),20.0)</f>
        <v>20</v>
      </c>
      <c r="E45" s="2" t="str">
        <f>IFERROR(__xludf.DUMMYFUNCTION("""COMPUTED_VALUE"""),"Herrelag")</f>
        <v>Herrelag</v>
      </c>
    </row>
    <row r="46" ht="15.75" customHeight="1">
      <c r="A46" s="18">
        <f>IFERROR(__xludf.DUMMYFUNCTION("""COMPUTED_VALUE"""),45857.47278697917)</f>
        <v>45857.47279</v>
      </c>
      <c r="B46" s="2" t="str">
        <f>IFERROR(__xludf.DUMMYFUNCTION("""COMPUTED_VALUE"""),"Post 4")</f>
        <v>Post 4</v>
      </c>
      <c r="C46" s="2" t="str">
        <f>IFERROR(__xludf.DUMMYFUNCTION("""COMPUTED_VALUE"""),"LAG 22")</f>
        <v>LAG 22</v>
      </c>
      <c r="D46" s="2">
        <f>IFERROR(__xludf.DUMMYFUNCTION("""COMPUTED_VALUE"""),10.0)</f>
        <v>10</v>
      </c>
      <c r="E46" s="2" t="str">
        <f>IFERROR(__xludf.DUMMYFUNCTION("""COMPUTED_VALUE"""),"Damelag")</f>
        <v>Damelag</v>
      </c>
    </row>
    <row r="47" ht="15.75" customHeight="1">
      <c r="A47" s="18">
        <f>IFERROR(__xludf.DUMMYFUNCTION("""COMPUTED_VALUE"""),45857.473033773145)</f>
        <v>45857.47303</v>
      </c>
      <c r="B47" s="2" t="str">
        <f>IFERROR(__xludf.DUMMYFUNCTION("""COMPUTED_VALUE"""),"Post 15")</f>
        <v>Post 15</v>
      </c>
      <c r="C47" s="2" t="str">
        <f>IFERROR(__xludf.DUMMYFUNCTION("""COMPUTED_VALUE"""),"LAG 75")</f>
        <v>LAG 75</v>
      </c>
      <c r="D47" s="2">
        <f>IFERROR(__xludf.DUMMYFUNCTION("""COMPUTED_VALUE"""),20.0)</f>
        <v>20</v>
      </c>
      <c r="E47" s="2" t="str">
        <f>IFERROR(__xludf.DUMMYFUNCTION("""COMPUTED_VALUE"""),"Herrelag")</f>
        <v>Herrelag</v>
      </c>
    </row>
    <row r="48" ht="15.75" customHeight="1">
      <c r="A48" s="18">
        <f>IFERROR(__xludf.DUMMYFUNCTION("""COMPUTED_VALUE"""),45857.474282407406)</f>
        <v>45857.47428</v>
      </c>
      <c r="B48" s="2" t="str">
        <f>IFERROR(__xludf.DUMMYFUNCTION("""COMPUTED_VALUE"""),"Post 12")</f>
        <v>Post 12</v>
      </c>
      <c r="C48" s="2" t="str">
        <f>IFERROR(__xludf.DUMMYFUNCTION("""COMPUTED_VALUE"""),"LAG 12")</f>
        <v>LAG 12</v>
      </c>
      <c r="D48" s="2">
        <f>IFERROR(__xludf.DUMMYFUNCTION("""COMPUTED_VALUE"""),15.0)</f>
        <v>15</v>
      </c>
      <c r="E48" s="2" t="str">
        <f>IFERROR(__xludf.DUMMYFUNCTION("""COMPUTED_VALUE"""),"Damelag")</f>
        <v>Damelag</v>
      </c>
    </row>
    <row r="49" ht="15.75" customHeight="1">
      <c r="A49" s="18">
        <f>IFERROR(__xludf.DUMMYFUNCTION("""COMPUTED_VALUE"""),45857.475126527774)</f>
        <v>45857.47513</v>
      </c>
      <c r="B49" s="2" t="str">
        <f>IFERROR(__xludf.DUMMYFUNCTION("""COMPUTED_VALUE"""),"Post 18")</f>
        <v>Post 18</v>
      </c>
      <c r="C49" s="2" t="str">
        <f>IFERROR(__xludf.DUMMYFUNCTION("""COMPUTED_VALUE"""),"LAG 67")</f>
        <v>LAG 67</v>
      </c>
      <c r="D49" s="2">
        <f>IFERROR(__xludf.DUMMYFUNCTION("""COMPUTED_VALUE"""),8.0)</f>
        <v>8</v>
      </c>
      <c r="E49" s="2" t="str">
        <f>IFERROR(__xludf.DUMMYFUNCTION("""COMPUTED_VALUE"""),"Damelag")</f>
        <v>Damelag</v>
      </c>
    </row>
    <row r="50" ht="15.75" customHeight="1">
      <c r="A50" s="18">
        <f>IFERROR(__xludf.DUMMYFUNCTION("""COMPUTED_VALUE"""),45857.47514440972)</f>
        <v>45857.47514</v>
      </c>
      <c r="B50" s="2" t="str">
        <f>IFERROR(__xludf.DUMMYFUNCTION("""COMPUTED_VALUE"""),"Post 9")</f>
        <v>Post 9</v>
      </c>
      <c r="C50" s="2" t="str">
        <f>IFERROR(__xludf.DUMMYFUNCTION("""COMPUTED_VALUE"""),"LAG 3")</f>
        <v>LAG 3</v>
      </c>
      <c r="D50" s="2">
        <f>IFERROR(__xludf.DUMMYFUNCTION("""COMPUTED_VALUE"""),23.0)</f>
        <v>23</v>
      </c>
      <c r="E50" s="2" t="str">
        <f>IFERROR(__xludf.DUMMYFUNCTION("""COMPUTED_VALUE"""),"Damelag")</f>
        <v>Damelag</v>
      </c>
    </row>
    <row r="51" ht="15.75" customHeight="1">
      <c r="A51" s="18">
        <f>IFERROR(__xludf.DUMMYFUNCTION("""COMPUTED_VALUE"""),45857.47676042824)</f>
        <v>45857.47676</v>
      </c>
      <c r="B51" s="2" t="str">
        <f>IFERROR(__xludf.DUMMYFUNCTION("""COMPUTED_VALUE"""),"Post 18")</f>
        <v>Post 18</v>
      </c>
      <c r="C51" s="2" t="str">
        <f>IFERROR(__xludf.DUMMYFUNCTION("""COMPUTED_VALUE"""),"LAG 42")</f>
        <v>LAG 42</v>
      </c>
      <c r="D51" s="2">
        <f>IFERROR(__xludf.DUMMYFUNCTION("""COMPUTED_VALUE"""),8.0)</f>
        <v>8</v>
      </c>
      <c r="E51" s="2" t="str">
        <f>IFERROR(__xludf.DUMMYFUNCTION("""COMPUTED_VALUE"""),"Damelag")</f>
        <v>Damelag</v>
      </c>
    </row>
    <row r="52" ht="15.75" customHeight="1">
      <c r="A52" s="18">
        <f>IFERROR(__xludf.DUMMYFUNCTION("""COMPUTED_VALUE"""),45857.476961030094)</f>
        <v>45857.47696</v>
      </c>
      <c r="B52" s="2" t="str">
        <f>IFERROR(__xludf.DUMMYFUNCTION("""COMPUTED_VALUE"""),"Post 18")</f>
        <v>Post 18</v>
      </c>
      <c r="C52" s="2" t="str">
        <f>IFERROR(__xludf.DUMMYFUNCTION("""COMPUTED_VALUE"""),"LAG 53")</f>
        <v>LAG 53</v>
      </c>
      <c r="D52" s="2">
        <f>IFERROR(__xludf.DUMMYFUNCTION("""COMPUTED_VALUE"""),9.0)</f>
        <v>9</v>
      </c>
      <c r="E52" s="2" t="str">
        <f>IFERROR(__xludf.DUMMYFUNCTION("""COMPUTED_VALUE"""),"Damelag")</f>
        <v>Damelag</v>
      </c>
    </row>
    <row r="53" ht="15.75" customHeight="1">
      <c r="A53" s="18">
        <f>IFERROR(__xludf.DUMMYFUNCTION("""COMPUTED_VALUE"""),45857.477108217594)</f>
        <v>45857.47711</v>
      </c>
      <c r="B53" s="2" t="str">
        <f>IFERROR(__xludf.DUMMYFUNCTION("""COMPUTED_VALUE"""),"Post 15")</f>
        <v>Post 15</v>
      </c>
      <c r="C53" s="2" t="str">
        <f>IFERROR(__xludf.DUMMYFUNCTION("""COMPUTED_VALUE"""),"LAG 40")</f>
        <v>LAG 40</v>
      </c>
      <c r="D53" s="2">
        <f>IFERROR(__xludf.DUMMYFUNCTION("""COMPUTED_VALUE"""),20.0)</f>
        <v>20</v>
      </c>
      <c r="E53" s="2" t="str">
        <f>IFERROR(__xludf.DUMMYFUNCTION("""COMPUTED_VALUE"""),"Damelag")</f>
        <v>Damelag</v>
      </c>
    </row>
    <row r="54" ht="15.75" customHeight="1">
      <c r="A54" s="18">
        <f>IFERROR(__xludf.DUMMYFUNCTION("""COMPUTED_VALUE"""),45857.47724179398)</f>
        <v>45857.47724</v>
      </c>
      <c r="B54" s="2" t="str">
        <f>IFERROR(__xludf.DUMMYFUNCTION("""COMPUTED_VALUE"""),"Post 20")</f>
        <v>Post 20</v>
      </c>
      <c r="C54" s="2" t="str">
        <f>IFERROR(__xludf.DUMMYFUNCTION("""COMPUTED_VALUE"""),"LAG 12")</f>
        <v>LAG 12</v>
      </c>
      <c r="D54" s="2">
        <f>IFERROR(__xludf.DUMMYFUNCTION("""COMPUTED_VALUE"""),20.0)</f>
        <v>20</v>
      </c>
      <c r="E54" s="2" t="str">
        <f>IFERROR(__xludf.DUMMYFUNCTION("""COMPUTED_VALUE"""),"Damelag")</f>
        <v>Damelag</v>
      </c>
    </row>
    <row r="55" ht="15.75" customHeight="1">
      <c r="A55" s="18">
        <f>IFERROR(__xludf.DUMMYFUNCTION("""COMPUTED_VALUE"""),45857.477522430556)</f>
        <v>45857.47752</v>
      </c>
      <c r="B55" s="2" t="str">
        <f>IFERROR(__xludf.DUMMYFUNCTION("""COMPUTED_VALUE"""),"Post 20")</f>
        <v>Post 20</v>
      </c>
      <c r="C55" s="2" t="str">
        <f>IFERROR(__xludf.DUMMYFUNCTION("""COMPUTED_VALUE"""),"LAG 22")</f>
        <v>LAG 22</v>
      </c>
      <c r="D55" s="2">
        <f>IFERROR(__xludf.DUMMYFUNCTION("""COMPUTED_VALUE"""),20.0)</f>
        <v>20</v>
      </c>
      <c r="E55" s="2" t="str">
        <f>IFERROR(__xludf.DUMMYFUNCTION("""COMPUTED_VALUE"""),"Damelag")</f>
        <v>Damelag</v>
      </c>
    </row>
    <row r="56" ht="15.75" customHeight="1">
      <c r="A56" s="18">
        <f>IFERROR(__xludf.DUMMYFUNCTION("""COMPUTED_VALUE"""),45857.477854467594)</f>
        <v>45857.47785</v>
      </c>
      <c r="B56" s="2" t="str">
        <f>IFERROR(__xludf.DUMMYFUNCTION("""COMPUTED_VALUE"""),"Post 20")</f>
        <v>Post 20</v>
      </c>
      <c r="C56" s="2" t="str">
        <f>IFERROR(__xludf.DUMMYFUNCTION("""COMPUTED_VALUE"""),"LAG 26")</f>
        <v>LAG 26</v>
      </c>
      <c r="D56" s="2">
        <f>IFERROR(__xludf.DUMMYFUNCTION("""COMPUTED_VALUE"""),20.0)</f>
        <v>20</v>
      </c>
      <c r="E56" s="2" t="str">
        <f>IFERROR(__xludf.DUMMYFUNCTION("""COMPUTED_VALUE"""),"Damelag")</f>
        <v>Damelag</v>
      </c>
    </row>
    <row r="57" ht="15.75" customHeight="1">
      <c r="A57" s="18">
        <f>IFERROR(__xludf.DUMMYFUNCTION("""COMPUTED_VALUE"""),45857.47801385417)</f>
        <v>45857.47801</v>
      </c>
      <c r="B57" s="2" t="str">
        <f>IFERROR(__xludf.DUMMYFUNCTION("""COMPUTED_VALUE"""),"Post 12")</f>
        <v>Post 12</v>
      </c>
      <c r="C57" s="2" t="str">
        <f>IFERROR(__xludf.DUMMYFUNCTION("""COMPUTED_VALUE"""),"LAG 67")</f>
        <v>LAG 67</v>
      </c>
      <c r="D57" s="2">
        <f>IFERROR(__xludf.DUMMYFUNCTION("""COMPUTED_VALUE"""),16.0)</f>
        <v>16</v>
      </c>
      <c r="E57" s="2" t="str">
        <f>IFERROR(__xludf.DUMMYFUNCTION("""COMPUTED_VALUE"""),"Damelag")</f>
        <v>Damelag</v>
      </c>
    </row>
    <row r="58" ht="15.75" customHeight="1">
      <c r="A58" s="18">
        <f>IFERROR(__xludf.DUMMYFUNCTION("""COMPUTED_VALUE"""),45857.478456956014)</f>
        <v>45857.47846</v>
      </c>
      <c r="B58" s="2" t="str">
        <f>IFERROR(__xludf.DUMMYFUNCTION("""COMPUTED_VALUE"""),"Post 6")</f>
        <v>Post 6</v>
      </c>
      <c r="C58" s="2" t="str">
        <f>IFERROR(__xludf.DUMMYFUNCTION("""COMPUTED_VALUE"""),"LAG 55")</f>
        <v>LAG 55</v>
      </c>
      <c r="D58" s="2">
        <f>IFERROR(__xludf.DUMMYFUNCTION("""COMPUTED_VALUE"""),20.0)</f>
        <v>20</v>
      </c>
      <c r="E58" s="2" t="str">
        <f>IFERROR(__xludf.DUMMYFUNCTION("""COMPUTED_VALUE"""),"Damelag")</f>
        <v>Damelag</v>
      </c>
    </row>
    <row r="59" ht="15.75" customHeight="1">
      <c r="A59" s="18">
        <f>IFERROR(__xludf.DUMMYFUNCTION("""COMPUTED_VALUE"""),45857.479266423616)</f>
        <v>45857.47927</v>
      </c>
      <c r="B59" s="2" t="str">
        <f>IFERROR(__xludf.DUMMYFUNCTION("""COMPUTED_VALUE"""),"Post 20")</f>
        <v>Post 20</v>
      </c>
      <c r="C59" s="2" t="str">
        <f>IFERROR(__xludf.DUMMYFUNCTION("""COMPUTED_VALUE"""),"LAG 26")</f>
        <v>LAG 26</v>
      </c>
      <c r="D59" s="2">
        <f>IFERROR(__xludf.DUMMYFUNCTION("""COMPUTED_VALUE"""),20.0)</f>
        <v>20</v>
      </c>
      <c r="E59" s="2" t="str">
        <f>IFERROR(__xludf.DUMMYFUNCTION("""COMPUTED_VALUE"""),"Damelag")</f>
        <v>Damelag</v>
      </c>
    </row>
    <row r="60" ht="15.75" customHeight="1">
      <c r="A60" s="18">
        <f>IFERROR(__xludf.DUMMYFUNCTION("""COMPUTED_VALUE"""),45857.47927372685)</f>
        <v>45857.47927</v>
      </c>
      <c r="B60" s="2" t="str">
        <f>IFERROR(__xludf.DUMMYFUNCTION("""COMPUTED_VALUE"""),"Post 6")</f>
        <v>Post 6</v>
      </c>
      <c r="C60" s="2" t="str">
        <f>IFERROR(__xludf.DUMMYFUNCTION("""COMPUTED_VALUE"""),"LAG 79")</f>
        <v>LAG 79</v>
      </c>
      <c r="D60" s="2">
        <f>IFERROR(__xludf.DUMMYFUNCTION("""COMPUTED_VALUE"""),20.0)</f>
        <v>20</v>
      </c>
      <c r="E60" s="2" t="str">
        <f>IFERROR(__xludf.DUMMYFUNCTION("""COMPUTED_VALUE"""),"Herrelag")</f>
        <v>Herrelag</v>
      </c>
    </row>
    <row r="61" ht="15.75" customHeight="1">
      <c r="A61" s="18">
        <f>IFERROR(__xludf.DUMMYFUNCTION("""COMPUTED_VALUE"""),45857.479360972226)</f>
        <v>45857.47936</v>
      </c>
      <c r="B61" s="2" t="str">
        <f>IFERROR(__xludf.DUMMYFUNCTION("""COMPUTED_VALUE"""),"Post 5")</f>
        <v>Post 5</v>
      </c>
      <c r="C61" s="2" t="str">
        <f>IFERROR(__xludf.DUMMYFUNCTION("""COMPUTED_VALUE"""),"LAG 26")</f>
        <v>LAG 26</v>
      </c>
      <c r="D61" s="2">
        <f>IFERROR(__xludf.DUMMYFUNCTION("""COMPUTED_VALUE"""),10.0)</f>
        <v>10</v>
      </c>
      <c r="E61" s="2" t="str">
        <f>IFERROR(__xludf.DUMMYFUNCTION("""COMPUTED_VALUE"""),"Damelag")</f>
        <v>Damelag</v>
      </c>
    </row>
    <row r="62" ht="15.75" customHeight="1">
      <c r="A62" s="18">
        <f>IFERROR(__xludf.DUMMYFUNCTION("""COMPUTED_VALUE"""),45857.47948412037)</f>
        <v>45857.47948</v>
      </c>
      <c r="B62" s="2" t="str">
        <f>IFERROR(__xludf.DUMMYFUNCTION("""COMPUTED_VALUE"""),"Post 20")</f>
        <v>Post 20</v>
      </c>
      <c r="C62" s="2" t="str">
        <f>IFERROR(__xludf.DUMMYFUNCTION("""COMPUTED_VALUE"""),"LAG 27")</f>
        <v>LAG 27</v>
      </c>
      <c r="D62" s="2">
        <f>IFERROR(__xludf.DUMMYFUNCTION("""COMPUTED_VALUE"""),30.0)</f>
        <v>30</v>
      </c>
      <c r="E62" s="2" t="str">
        <f>IFERROR(__xludf.DUMMYFUNCTION("""COMPUTED_VALUE"""),"Damelag")</f>
        <v>Damelag</v>
      </c>
    </row>
    <row r="63" ht="15.75" customHeight="1">
      <c r="A63" s="18">
        <f>IFERROR(__xludf.DUMMYFUNCTION("""COMPUTED_VALUE"""),45857.47967408565)</f>
        <v>45857.47967</v>
      </c>
      <c r="B63" s="2" t="str">
        <f>IFERROR(__xludf.DUMMYFUNCTION("""COMPUTED_VALUE"""),"Post 8")</f>
        <v>Post 8</v>
      </c>
      <c r="C63" s="2" t="str">
        <f>IFERROR(__xludf.DUMMYFUNCTION("""COMPUTED_VALUE"""),"LAG 1")</f>
        <v>LAG 1</v>
      </c>
      <c r="D63" s="2">
        <f>IFERROR(__xludf.DUMMYFUNCTION("""COMPUTED_VALUE"""),4.0)</f>
        <v>4</v>
      </c>
      <c r="E63" s="2" t="str">
        <f>IFERROR(__xludf.DUMMYFUNCTION("""COMPUTED_VALUE"""),"Damelag")</f>
        <v>Damelag</v>
      </c>
    </row>
    <row r="64" ht="15.75" customHeight="1">
      <c r="A64" s="18">
        <f>IFERROR(__xludf.DUMMYFUNCTION("""COMPUTED_VALUE"""),45857.479682881945)</f>
        <v>45857.47968</v>
      </c>
      <c r="B64" s="2" t="str">
        <f>IFERROR(__xludf.DUMMYFUNCTION("""COMPUTED_VALUE"""),"Post 9")</f>
        <v>Post 9</v>
      </c>
      <c r="C64" s="2" t="str">
        <f>IFERROR(__xludf.DUMMYFUNCTION("""COMPUTED_VALUE"""),"LAG 77")</f>
        <v>LAG 77</v>
      </c>
      <c r="D64" s="2">
        <f>IFERROR(__xludf.DUMMYFUNCTION("""COMPUTED_VALUE"""),23.0)</f>
        <v>23</v>
      </c>
      <c r="E64" s="2" t="str">
        <f>IFERROR(__xludf.DUMMYFUNCTION("""COMPUTED_VALUE"""),"Mixlag")</f>
        <v>Mixlag</v>
      </c>
    </row>
    <row r="65" ht="15.75" customHeight="1">
      <c r="A65" s="18">
        <f>IFERROR(__xludf.DUMMYFUNCTION("""COMPUTED_VALUE"""),45857.479914814816)</f>
        <v>45857.47991</v>
      </c>
      <c r="B65" s="2" t="str">
        <f>IFERROR(__xludf.DUMMYFUNCTION("""COMPUTED_VALUE"""),"Post 4")</f>
        <v>Post 4</v>
      </c>
      <c r="C65" s="2" t="str">
        <f>IFERROR(__xludf.DUMMYFUNCTION("""COMPUTED_VALUE"""),"LAG 67")</f>
        <v>LAG 67</v>
      </c>
      <c r="D65" s="2">
        <f>IFERROR(__xludf.DUMMYFUNCTION("""COMPUTED_VALUE"""),15.0)</f>
        <v>15</v>
      </c>
      <c r="E65" s="2" t="str">
        <f>IFERROR(__xludf.DUMMYFUNCTION("""COMPUTED_VALUE"""),"Damelag")</f>
        <v>Damelag</v>
      </c>
    </row>
    <row r="66" ht="15.75" customHeight="1">
      <c r="A66" s="18">
        <f>IFERROR(__xludf.DUMMYFUNCTION("""COMPUTED_VALUE"""),45857.47991837963)</f>
        <v>45857.47992</v>
      </c>
      <c r="B66" s="2" t="str">
        <f>IFERROR(__xludf.DUMMYFUNCTION("""COMPUTED_VALUE"""),"Post 20")</f>
        <v>Post 20</v>
      </c>
      <c r="C66" s="2" t="str">
        <f>IFERROR(__xludf.DUMMYFUNCTION("""COMPUTED_VALUE"""),"LAG 28")</f>
        <v>LAG 28</v>
      </c>
      <c r="D66" s="2">
        <f>IFERROR(__xludf.DUMMYFUNCTION("""COMPUTED_VALUE"""),30.0)</f>
        <v>30</v>
      </c>
      <c r="E66" s="2" t="str">
        <f>IFERROR(__xludf.DUMMYFUNCTION("""COMPUTED_VALUE"""),"Damelag")</f>
        <v>Damelag</v>
      </c>
    </row>
    <row r="67" ht="15.75" customHeight="1">
      <c r="A67" s="18">
        <f>IFERROR(__xludf.DUMMYFUNCTION("""COMPUTED_VALUE"""),45857.48018061343)</f>
        <v>45857.48018</v>
      </c>
      <c r="B67" s="2" t="str">
        <f>IFERROR(__xludf.DUMMYFUNCTION("""COMPUTED_VALUE"""),"Post 18")</f>
        <v>Post 18</v>
      </c>
      <c r="C67" s="2" t="str">
        <f>IFERROR(__xludf.DUMMYFUNCTION("""COMPUTED_VALUE"""),"LAG 75")</f>
        <v>LAG 75</v>
      </c>
      <c r="D67" s="2">
        <f>IFERROR(__xludf.DUMMYFUNCTION("""COMPUTED_VALUE"""),10.0)</f>
        <v>10</v>
      </c>
      <c r="E67" s="2" t="str">
        <f>IFERROR(__xludf.DUMMYFUNCTION("""COMPUTED_VALUE"""),"Herrelag")</f>
        <v>Herrelag</v>
      </c>
    </row>
    <row r="68" ht="15.75" customHeight="1">
      <c r="A68" s="18">
        <f>IFERROR(__xludf.DUMMYFUNCTION("""COMPUTED_VALUE"""),45857.48052357639)</f>
        <v>45857.48052</v>
      </c>
      <c r="B68" s="2" t="str">
        <f>IFERROR(__xludf.DUMMYFUNCTION("""COMPUTED_VALUE"""),"Post 2")</f>
        <v>Post 2</v>
      </c>
      <c r="C68" s="2" t="str">
        <f>IFERROR(__xludf.DUMMYFUNCTION("""COMPUTED_VALUE"""),"LAG 84")</f>
        <v>LAG 84</v>
      </c>
      <c r="D68" s="2">
        <f>IFERROR(__xludf.DUMMYFUNCTION("""COMPUTED_VALUE"""),15.0)</f>
        <v>15</v>
      </c>
      <c r="E68" s="2" t="str">
        <f>IFERROR(__xludf.DUMMYFUNCTION("""COMPUTED_VALUE"""),"Herrelag")</f>
        <v>Herrelag</v>
      </c>
    </row>
    <row r="69" ht="15.75" customHeight="1">
      <c r="A69" s="18">
        <f>IFERROR(__xludf.DUMMYFUNCTION("""COMPUTED_VALUE"""),45857.48053885417)</f>
        <v>45857.48054</v>
      </c>
      <c r="B69" s="2" t="str">
        <f>IFERROR(__xludf.DUMMYFUNCTION("""COMPUTED_VALUE"""),"Post 12")</f>
        <v>Post 12</v>
      </c>
      <c r="C69" s="2" t="str">
        <f>IFERROR(__xludf.DUMMYFUNCTION("""COMPUTED_VALUE"""),"LAG 38")</f>
        <v>LAG 38</v>
      </c>
      <c r="D69" s="2">
        <f>IFERROR(__xludf.DUMMYFUNCTION("""COMPUTED_VALUE"""),15.0)</f>
        <v>15</v>
      </c>
      <c r="E69" s="2" t="str">
        <f>IFERROR(__xludf.DUMMYFUNCTION("""COMPUTED_VALUE"""),"Damelag")</f>
        <v>Damelag</v>
      </c>
    </row>
    <row r="70" ht="15.75" customHeight="1">
      <c r="A70" s="18">
        <f>IFERROR(__xludf.DUMMYFUNCTION("""COMPUTED_VALUE"""),45857.48057309027)</f>
        <v>45857.48057</v>
      </c>
      <c r="B70" s="2" t="str">
        <f>IFERROR(__xludf.DUMMYFUNCTION("""COMPUTED_VALUE"""),"Post 20")</f>
        <v>Post 20</v>
      </c>
      <c r="C70" s="2" t="str">
        <f>IFERROR(__xludf.DUMMYFUNCTION("""COMPUTED_VALUE"""),"LAG 32")</f>
        <v>LAG 32</v>
      </c>
      <c r="D70" s="2">
        <f>IFERROR(__xludf.DUMMYFUNCTION("""COMPUTED_VALUE"""),20.0)</f>
        <v>20</v>
      </c>
      <c r="E70" s="2" t="str">
        <f>IFERROR(__xludf.DUMMYFUNCTION("""COMPUTED_VALUE"""),"Damelag")</f>
        <v>Damelag</v>
      </c>
    </row>
    <row r="71" ht="15.75" customHeight="1">
      <c r="A71" s="18">
        <f>IFERROR(__xludf.DUMMYFUNCTION("""COMPUTED_VALUE"""),45857.48059789352)</f>
        <v>45857.4806</v>
      </c>
      <c r="B71" s="2" t="str">
        <f>IFERROR(__xludf.DUMMYFUNCTION("""COMPUTED_VALUE"""),"Post 4")</f>
        <v>Post 4</v>
      </c>
      <c r="C71" s="2" t="str">
        <f>IFERROR(__xludf.DUMMYFUNCTION("""COMPUTED_VALUE"""),"LAG 26")</f>
        <v>LAG 26</v>
      </c>
      <c r="D71" s="2">
        <f>IFERROR(__xludf.DUMMYFUNCTION("""COMPUTED_VALUE"""),15.0)</f>
        <v>15</v>
      </c>
      <c r="E71" s="2" t="str">
        <f>IFERROR(__xludf.DUMMYFUNCTION("""COMPUTED_VALUE"""),"Damelag")</f>
        <v>Damelag</v>
      </c>
    </row>
    <row r="72" ht="15.75" customHeight="1">
      <c r="A72" s="18">
        <f>IFERROR(__xludf.DUMMYFUNCTION("""COMPUTED_VALUE"""),45857.48088070602)</f>
        <v>45857.48088</v>
      </c>
      <c r="B72" s="2" t="str">
        <f>IFERROR(__xludf.DUMMYFUNCTION("""COMPUTED_VALUE"""),"Post 15")</f>
        <v>Post 15</v>
      </c>
      <c r="C72" s="2" t="str">
        <f>IFERROR(__xludf.DUMMYFUNCTION("""COMPUTED_VALUE"""),"LAG 27")</f>
        <v>LAG 27</v>
      </c>
      <c r="D72" s="2">
        <f>IFERROR(__xludf.DUMMYFUNCTION("""COMPUTED_VALUE"""),20.0)</f>
        <v>20</v>
      </c>
      <c r="E72" s="2" t="str">
        <f>IFERROR(__xludf.DUMMYFUNCTION("""COMPUTED_VALUE"""),"Damelag")</f>
        <v>Damelag</v>
      </c>
    </row>
    <row r="73" ht="15.75" customHeight="1">
      <c r="A73" s="18">
        <f>IFERROR(__xludf.DUMMYFUNCTION("""COMPUTED_VALUE"""),45857.48122255787)</f>
        <v>45857.48122</v>
      </c>
      <c r="B73" s="2" t="str">
        <f>IFERROR(__xludf.DUMMYFUNCTION("""COMPUTED_VALUE"""),"Post 15")</f>
        <v>Post 15</v>
      </c>
      <c r="C73" s="2" t="str">
        <f>IFERROR(__xludf.DUMMYFUNCTION("""COMPUTED_VALUE"""),"LAG 28")</f>
        <v>LAG 28</v>
      </c>
      <c r="D73" s="2">
        <f>IFERROR(__xludf.DUMMYFUNCTION("""COMPUTED_VALUE"""),15.0)</f>
        <v>15</v>
      </c>
      <c r="E73" s="2" t="str">
        <f>IFERROR(__xludf.DUMMYFUNCTION("""COMPUTED_VALUE"""),"Damelag")</f>
        <v>Damelag</v>
      </c>
    </row>
    <row r="74" ht="15.75" customHeight="1">
      <c r="A74" s="18">
        <f>IFERROR(__xludf.DUMMYFUNCTION("""COMPUTED_VALUE"""),45857.48163920139)</f>
        <v>45857.48164</v>
      </c>
      <c r="B74" s="2" t="str">
        <f>IFERROR(__xludf.DUMMYFUNCTION("""COMPUTED_VALUE"""),"Post 20")</f>
        <v>Post 20</v>
      </c>
      <c r="C74" s="2" t="str">
        <f>IFERROR(__xludf.DUMMYFUNCTION("""COMPUTED_VALUE"""),"LAG 41")</f>
        <v>LAG 41</v>
      </c>
      <c r="D74" s="2">
        <f>IFERROR(__xludf.DUMMYFUNCTION("""COMPUTED_VALUE"""),30.0)</f>
        <v>30</v>
      </c>
      <c r="E74" s="2" t="str">
        <f>IFERROR(__xludf.DUMMYFUNCTION("""COMPUTED_VALUE"""),"Mixlag")</f>
        <v>Mixlag</v>
      </c>
    </row>
    <row r="75" ht="15.75" customHeight="1">
      <c r="A75" s="18">
        <f>IFERROR(__xludf.DUMMYFUNCTION("""COMPUTED_VALUE"""),45857.4819727662)</f>
        <v>45857.48197</v>
      </c>
      <c r="B75" s="2" t="str">
        <f>IFERROR(__xludf.DUMMYFUNCTION("""COMPUTED_VALUE"""),"Post 20")</f>
        <v>Post 20</v>
      </c>
      <c r="C75" s="2" t="str">
        <f>IFERROR(__xludf.DUMMYFUNCTION("""COMPUTED_VALUE"""),"LAG 42")</f>
        <v>LAG 42</v>
      </c>
      <c r="D75" s="2">
        <f>IFERROR(__xludf.DUMMYFUNCTION("""COMPUTED_VALUE"""),20.0)</f>
        <v>20</v>
      </c>
      <c r="E75" s="2" t="str">
        <f>IFERROR(__xludf.DUMMYFUNCTION("""COMPUTED_VALUE"""),"Damelag")</f>
        <v>Damelag</v>
      </c>
    </row>
    <row r="76" ht="15.75" customHeight="1">
      <c r="A76" s="18">
        <f>IFERROR(__xludf.DUMMYFUNCTION("""COMPUTED_VALUE"""),45857.48200354166)</f>
        <v>45857.482</v>
      </c>
      <c r="B76" s="2" t="str">
        <f>IFERROR(__xludf.DUMMYFUNCTION("""COMPUTED_VALUE"""),"Post 9")</f>
        <v>Post 9</v>
      </c>
      <c r="C76" s="2" t="str">
        <f>IFERROR(__xludf.DUMMYFUNCTION("""COMPUTED_VALUE"""),"LAG 5")</f>
        <v>LAG 5</v>
      </c>
      <c r="D76" s="2">
        <f>IFERROR(__xludf.DUMMYFUNCTION("""COMPUTED_VALUE"""),22.0)</f>
        <v>22</v>
      </c>
      <c r="E76" s="2" t="str">
        <f>IFERROR(__xludf.DUMMYFUNCTION("""COMPUTED_VALUE"""),"Mixlag")</f>
        <v>Mixlag</v>
      </c>
    </row>
    <row r="77" ht="15.75" customHeight="1">
      <c r="A77" s="18">
        <f>IFERROR(__xludf.DUMMYFUNCTION("""COMPUTED_VALUE"""),45857.48238390047)</f>
        <v>45857.48238</v>
      </c>
      <c r="B77" s="2" t="str">
        <f>IFERROR(__xludf.DUMMYFUNCTION("""COMPUTED_VALUE"""),"Post 4")</f>
        <v>Post 4</v>
      </c>
      <c r="C77" s="2" t="str">
        <f>IFERROR(__xludf.DUMMYFUNCTION("""COMPUTED_VALUE"""),"LAG 79")</f>
        <v>LAG 79</v>
      </c>
      <c r="D77" s="2">
        <f>IFERROR(__xludf.DUMMYFUNCTION("""COMPUTED_VALUE"""),10.0)</f>
        <v>10</v>
      </c>
      <c r="E77" s="2" t="str">
        <f>IFERROR(__xludf.DUMMYFUNCTION("""COMPUTED_VALUE"""),"Herrelag")</f>
        <v>Herrelag</v>
      </c>
    </row>
    <row r="78" ht="15.75" customHeight="1">
      <c r="A78" s="18">
        <f>IFERROR(__xludf.DUMMYFUNCTION("""COMPUTED_VALUE"""),45857.48258364583)</f>
        <v>45857.48258</v>
      </c>
      <c r="B78" s="2" t="str">
        <f>IFERROR(__xludf.DUMMYFUNCTION("""COMPUTED_VALUE"""),"Post 20")</f>
        <v>Post 20</v>
      </c>
      <c r="C78" s="2" t="str">
        <f>IFERROR(__xludf.DUMMYFUNCTION("""COMPUTED_VALUE"""),"LAG 55")</f>
        <v>LAG 55</v>
      </c>
      <c r="D78" s="2">
        <f>IFERROR(__xludf.DUMMYFUNCTION("""COMPUTED_VALUE"""),30.0)</f>
        <v>30</v>
      </c>
      <c r="E78" s="2" t="str">
        <f>IFERROR(__xludf.DUMMYFUNCTION("""COMPUTED_VALUE"""),"Damelag")</f>
        <v>Damelag</v>
      </c>
    </row>
    <row r="79" ht="15.75" customHeight="1">
      <c r="A79" s="18">
        <f>IFERROR(__xludf.DUMMYFUNCTION("""COMPUTED_VALUE"""),45857.48261010417)</f>
        <v>45857.48261</v>
      </c>
      <c r="B79" s="2" t="str">
        <f>IFERROR(__xludf.DUMMYFUNCTION("""COMPUTED_VALUE"""),"Post 18")</f>
        <v>Post 18</v>
      </c>
      <c r="C79" s="2" t="str">
        <f>IFERROR(__xludf.DUMMYFUNCTION("""COMPUTED_VALUE"""),"LAG 41")</f>
        <v>LAG 41</v>
      </c>
      <c r="D79" s="2">
        <f>IFERROR(__xludf.DUMMYFUNCTION("""COMPUTED_VALUE"""),13.0)</f>
        <v>13</v>
      </c>
      <c r="E79" s="2" t="str">
        <f>IFERROR(__xludf.DUMMYFUNCTION("""COMPUTED_VALUE"""),"Mixlag")</f>
        <v>Mixlag</v>
      </c>
    </row>
    <row r="80" ht="15.75" customHeight="1">
      <c r="A80" s="18">
        <f>IFERROR(__xludf.DUMMYFUNCTION("""COMPUTED_VALUE"""),45857.48278821759)</f>
        <v>45857.48279</v>
      </c>
      <c r="B80" s="2" t="str">
        <f>IFERROR(__xludf.DUMMYFUNCTION("""COMPUTED_VALUE"""),"Post 16")</f>
        <v>Post 16</v>
      </c>
      <c r="C80" s="2" t="str">
        <f>IFERROR(__xludf.DUMMYFUNCTION("""COMPUTED_VALUE"""),"LAG 14")</f>
        <v>LAG 14</v>
      </c>
      <c r="D80" s="2">
        <f>IFERROR(__xludf.DUMMYFUNCTION("""COMPUTED_VALUE"""),19.0)</f>
        <v>19</v>
      </c>
      <c r="E80" s="2" t="str">
        <f>IFERROR(__xludf.DUMMYFUNCTION("""COMPUTED_VALUE"""),"Mixlag")</f>
        <v>Mixlag</v>
      </c>
    </row>
    <row r="81" ht="15.75" customHeight="1">
      <c r="A81" s="18">
        <f>IFERROR(__xludf.DUMMYFUNCTION("""COMPUTED_VALUE"""),45857.48286924769)</f>
        <v>45857.48287</v>
      </c>
      <c r="B81" s="2" t="str">
        <f>IFERROR(__xludf.DUMMYFUNCTION("""COMPUTED_VALUE"""),"Post 2")</f>
        <v>Post 2</v>
      </c>
      <c r="C81" s="2" t="str">
        <f>IFERROR(__xludf.DUMMYFUNCTION("""COMPUTED_VALUE"""),"LAG 48")</f>
        <v>LAG 48</v>
      </c>
      <c r="D81" s="2">
        <f>IFERROR(__xludf.DUMMYFUNCTION("""COMPUTED_VALUE"""),15.0)</f>
        <v>15</v>
      </c>
      <c r="E81" s="2" t="str">
        <f>IFERROR(__xludf.DUMMYFUNCTION("""COMPUTED_VALUE"""),"Damelag")</f>
        <v>Damelag</v>
      </c>
    </row>
    <row r="82" ht="15.75" customHeight="1">
      <c r="A82" s="18">
        <f>IFERROR(__xludf.DUMMYFUNCTION("""COMPUTED_VALUE"""),45857.482999722226)</f>
        <v>45857.483</v>
      </c>
      <c r="B82" s="2" t="str">
        <f>IFERROR(__xludf.DUMMYFUNCTION("""COMPUTED_VALUE"""),"Post 20")</f>
        <v>Post 20</v>
      </c>
      <c r="C82" s="2" t="str">
        <f>IFERROR(__xludf.DUMMYFUNCTION("""COMPUTED_VALUE"""),"LAG 57")</f>
        <v>LAG 57</v>
      </c>
      <c r="D82" s="2">
        <f>IFERROR(__xludf.DUMMYFUNCTION("""COMPUTED_VALUE"""),5.0)</f>
        <v>5</v>
      </c>
      <c r="E82" s="2" t="str">
        <f>IFERROR(__xludf.DUMMYFUNCTION("""COMPUTED_VALUE"""),"Herrelag")</f>
        <v>Herrelag</v>
      </c>
    </row>
    <row r="83" ht="15.75" customHeight="1">
      <c r="A83" s="18">
        <f>IFERROR(__xludf.DUMMYFUNCTION("""COMPUTED_VALUE"""),45857.483406134255)</f>
        <v>45857.48341</v>
      </c>
      <c r="B83" s="2" t="str">
        <f>IFERROR(__xludf.DUMMYFUNCTION("""COMPUTED_VALUE"""),"Post 8")</f>
        <v>Post 8</v>
      </c>
      <c r="C83" s="2" t="str">
        <f>IFERROR(__xludf.DUMMYFUNCTION("""COMPUTED_VALUE"""),"LAG 80")</f>
        <v>LAG 80</v>
      </c>
      <c r="D83" s="2">
        <f>IFERROR(__xludf.DUMMYFUNCTION("""COMPUTED_VALUE"""),13.0)</f>
        <v>13</v>
      </c>
      <c r="E83" s="2" t="str">
        <f>IFERROR(__xludf.DUMMYFUNCTION("""COMPUTED_VALUE"""),"Herrelag")</f>
        <v>Herrelag</v>
      </c>
    </row>
    <row r="84" ht="15.75" customHeight="1">
      <c r="A84" s="18">
        <f>IFERROR(__xludf.DUMMYFUNCTION("""COMPUTED_VALUE"""),45857.48352815972)</f>
        <v>45857.48353</v>
      </c>
      <c r="B84" s="2" t="str">
        <f>IFERROR(__xludf.DUMMYFUNCTION("""COMPUTED_VALUE"""),"Post 20")</f>
        <v>Post 20</v>
      </c>
      <c r="C84" s="2" t="str">
        <f>IFERROR(__xludf.DUMMYFUNCTION("""COMPUTED_VALUE"""),"LAG 67")</f>
        <v>LAG 67</v>
      </c>
      <c r="D84" s="2">
        <f>IFERROR(__xludf.DUMMYFUNCTION("""COMPUTED_VALUE"""),20.0)</f>
        <v>20</v>
      </c>
      <c r="E84" s="2" t="str">
        <f>IFERROR(__xludf.DUMMYFUNCTION("""COMPUTED_VALUE"""),"Damelag")</f>
        <v>Damelag</v>
      </c>
    </row>
    <row r="85" ht="15.75" customHeight="1">
      <c r="A85" s="18">
        <f>IFERROR(__xludf.DUMMYFUNCTION("""COMPUTED_VALUE"""),45857.48379459491)</f>
        <v>45857.48379</v>
      </c>
      <c r="B85" s="2" t="str">
        <f>IFERROR(__xludf.DUMMYFUNCTION("""COMPUTED_VALUE"""),"Post 18")</f>
        <v>Post 18</v>
      </c>
      <c r="C85" s="2" t="str">
        <f>IFERROR(__xludf.DUMMYFUNCTION("""COMPUTED_VALUE"""),"LAG 76")</f>
        <v>LAG 76</v>
      </c>
      <c r="D85" s="2">
        <f>IFERROR(__xludf.DUMMYFUNCTION("""COMPUTED_VALUE"""),16.0)</f>
        <v>16</v>
      </c>
      <c r="E85" s="2" t="str">
        <f>IFERROR(__xludf.DUMMYFUNCTION("""COMPUTED_VALUE"""),"Mixlag")</f>
        <v>Mixlag</v>
      </c>
    </row>
    <row r="86" ht="15.75" customHeight="1">
      <c r="A86" s="18">
        <f>IFERROR(__xludf.DUMMYFUNCTION("""COMPUTED_VALUE"""),45857.483861354165)</f>
        <v>45857.48386</v>
      </c>
      <c r="B86" s="2" t="str">
        <f>IFERROR(__xludf.DUMMYFUNCTION("""COMPUTED_VALUE"""),"Post 6")</f>
        <v>Post 6</v>
      </c>
      <c r="C86" s="2" t="str">
        <f>IFERROR(__xludf.DUMMYFUNCTION("""COMPUTED_VALUE"""),"LAG 53")</f>
        <v>LAG 53</v>
      </c>
      <c r="D86" s="2">
        <f>IFERROR(__xludf.DUMMYFUNCTION("""COMPUTED_VALUE"""),20.0)</f>
        <v>20</v>
      </c>
      <c r="E86" s="2" t="str">
        <f>IFERROR(__xludf.DUMMYFUNCTION("""COMPUTED_VALUE"""),"Damelag")</f>
        <v>Damelag</v>
      </c>
    </row>
    <row r="87" ht="15.75" customHeight="1">
      <c r="A87" s="18">
        <f>IFERROR(__xludf.DUMMYFUNCTION("""COMPUTED_VALUE"""),45857.48386729167)</f>
        <v>45857.48387</v>
      </c>
      <c r="B87" s="2" t="str">
        <f>IFERROR(__xludf.DUMMYFUNCTION("""COMPUTED_VALUE"""),"Post 16")</f>
        <v>Post 16</v>
      </c>
      <c r="C87" s="2" t="str">
        <f>IFERROR(__xludf.DUMMYFUNCTION("""COMPUTED_VALUE"""),"LAG 22")</f>
        <v>LAG 22</v>
      </c>
      <c r="D87" s="2">
        <f>IFERROR(__xludf.DUMMYFUNCTION("""COMPUTED_VALUE"""),23.0)</f>
        <v>23</v>
      </c>
      <c r="E87" s="2" t="str">
        <f>IFERROR(__xludf.DUMMYFUNCTION("""COMPUTED_VALUE"""),"Damelag")</f>
        <v>Damelag</v>
      </c>
    </row>
    <row r="88" ht="15.75" customHeight="1">
      <c r="A88" s="18">
        <f>IFERROR(__xludf.DUMMYFUNCTION("""COMPUTED_VALUE"""),45857.48386799768)</f>
        <v>45857.48387</v>
      </c>
      <c r="B88" s="2" t="str">
        <f>IFERROR(__xludf.DUMMYFUNCTION("""COMPUTED_VALUE"""),"Post 12")</f>
        <v>Post 12</v>
      </c>
      <c r="C88" s="2" t="str">
        <f>IFERROR(__xludf.DUMMYFUNCTION("""COMPUTED_VALUE"""),"LAG 42")</f>
        <v>LAG 42</v>
      </c>
      <c r="D88" s="2">
        <f>IFERROR(__xludf.DUMMYFUNCTION("""COMPUTED_VALUE"""),12.0)</f>
        <v>12</v>
      </c>
      <c r="E88" s="2" t="str">
        <f>IFERROR(__xludf.DUMMYFUNCTION("""COMPUTED_VALUE"""),"Damelag")</f>
        <v>Damelag</v>
      </c>
    </row>
    <row r="89" ht="15.75" customHeight="1">
      <c r="A89" s="18">
        <f>IFERROR(__xludf.DUMMYFUNCTION("""COMPUTED_VALUE"""),45857.484161851855)</f>
        <v>45857.48416</v>
      </c>
      <c r="B89" s="2" t="str">
        <f>IFERROR(__xludf.DUMMYFUNCTION("""COMPUTED_VALUE"""),"Post 4")</f>
        <v>Post 4</v>
      </c>
      <c r="C89" s="2" t="str">
        <f>IFERROR(__xludf.DUMMYFUNCTION("""COMPUTED_VALUE"""),"LAG 68")</f>
        <v>LAG 68</v>
      </c>
      <c r="D89" s="2">
        <f>IFERROR(__xludf.DUMMYFUNCTION("""COMPUTED_VALUE"""),10.0)</f>
        <v>10</v>
      </c>
      <c r="E89" s="2" t="str">
        <f>IFERROR(__xludf.DUMMYFUNCTION("""COMPUTED_VALUE"""),"Herrelag")</f>
        <v>Herrelag</v>
      </c>
    </row>
    <row r="90" ht="15.75" customHeight="1">
      <c r="A90" s="18">
        <f>IFERROR(__xludf.DUMMYFUNCTION("""COMPUTED_VALUE"""),45857.48419644676)</f>
        <v>45857.4842</v>
      </c>
      <c r="B90" s="2" t="str">
        <f>IFERROR(__xludf.DUMMYFUNCTION("""COMPUTED_VALUE"""),"Post 16")</f>
        <v>Post 16</v>
      </c>
      <c r="C90" s="2" t="str">
        <f>IFERROR(__xludf.DUMMYFUNCTION("""COMPUTED_VALUE"""),"LAG 80")</f>
        <v>LAG 80</v>
      </c>
      <c r="D90" s="2">
        <f>IFERROR(__xludf.DUMMYFUNCTION("""COMPUTED_VALUE"""),18.0)</f>
        <v>18</v>
      </c>
      <c r="E90" s="2" t="str">
        <f>IFERROR(__xludf.DUMMYFUNCTION("""COMPUTED_VALUE"""),"Herrelag")</f>
        <v>Herrelag</v>
      </c>
    </row>
    <row r="91" ht="15.75" customHeight="1">
      <c r="A91" s="18">
        <f>IFERROR(__xludf.DUMMYFUNCTION("""COMPUTED_VALUE"""),45857.4844625)</f>
        <v>45857.48446</v>
      </c>
      <c r="B91" s="2" t="str">
        <f>IFERROR(__xludf.DUMMYFUNCTION("""COMPUTED_VALUE"""),"Post 20")</f>
        <v>Post 20</v>
      </c>
      <c r="C91" s="2" t="str">
        <f>IFERROR(__xludf.DUMMYFUNCTION("""COMPUTED_VALUE"""),"LAG 75")</f>
        <v>LAG 75</v>
      </c>
      <c r="D91" s="2">
        <f>IFERROR(__xludf.DUMMYFUNCTION("""COMPUTED_VALUE"""),20.0)</f>
        <v>20</v>
      </c>
      <c r="E91" s="2" t="str">
        <f>IFERROR(__xludf.DUMMYFUNCTION("""COMPUTED_VALUE"""),"Herrelag")</f>
        <v>Herrelag</v>
      </c>
    </row>
    <row r="92" ht="15.75" customHeight="1">
      <c r="A92" s="18">
        <f>IFERROR(__xludf.DUMMYFUNCTION("""COMPUTED_VALUE"""),45857.48473482639)</f>
        <v>45857.48473</v>
      </c>
      <c r="B92" s="2" t="str">
        <f>IFERROR(__xludf.DUMMYFUNCTION("""COMPUTED_VALUE"""),"Post 16")</f>
        <v>Post 16</v>
      </c>
      <c r="C92" s="2" t="str">
        <f>IFERROR(__xludf.DUMMYFUNCTION("""COMPUTED_VALUE"""),"LAG 75")</f>
        <v>LAG 75</v>
      </c>
      <c r="D92" s="2">
        <f>IFERROR(__xludf.DUMMYFUNCTION("""COMPUTED_VALUE"""),21.0)</f>
        <v>21</v>
      </c>
      <c r="E92" s="2" t="str">
        <f>IFERROR(__xludf.DUMMYFUNCTION("""COMPUTED_VALUE"""),"Herrelag")</f>
        <v>Herrelag</v>
      </c>
    </row>
    <row r="93" ht="15.75" customHeight="1">
      <c r="A93" s="18">
        <f>IFERROR(__xludf.DUMMYFUNCTION("""COMPUTED_VALUE"""),45857.484940995375)</f>
        <v>45857.48494</v>
      </c>
      <c r="B93" s="2" t="str">
        <f>IFERROR(__xludf.DUMMYFUNCTION("""COMPUTED_VALUE"""),"Post 16")</f>
        <v>Post 16</v>
      </c>
      <c r="C93" s="2" t="str">
        <f>IFERROR(__xludf.DUMMYFUNCTION("""COMPUTED_VALUE"""),"LAG 40")</f>
        <v>LAG 40</v>
      </c>
      <c r="D93" s="2">
        <f>IFERROR(__xludf.DUMMYFUNCTION("""COMPUTED_VALUE"""),23.0)</f>
        <v>23</v>
      </c>
      <c r="E93" s="2" t="str">
        <f>IFERROR(__xludf.DUMMYFUNCTION("""COMPUTED_VALUE"""),"Damelag")</f>
        <v>Damelag</v>
      </c>
    </row>
    <row r="94" ht="15.75" customHeight="1">
      <c r="A94" s="18">
        <f>IFERROR(__xludf.DUMMYFUNCTION("""COMPUTED_VALUE"""),45857.485067685186)</f>
        <v>45857.48507</v>
      </c>
      <c r="B94" s="2" t="str">
        <f>IFERROR(__xludf.DUMMYFUNCTION("""COMPUTED_VALUE"""),"Post 20")</f>
        <v>Post 20</v>
      </c>
      <c r="C94" s="2" t="str">
        <f>IFERROR(__xludf.DUMMYFUNCTION("""COMPUTED_VALUE"""),"LAG 76")</f>
        <v>LAG 76</v>
      </c>
      <c r="D94" s="2">
        <f>IFERROR(__xludf.DUMMYFUNCTION("""COMPUTED_VALUE"""),30.0)</f>
        <v>30</v>
      </c>
      <c r="E94" s="2" t="str">
        <f>IFERROR(__xludf.DUMMYFUNCTION("""COMPUTED_VALUE"""),"Herrelag")</f>
        <v>Herrelag</v>
      </c>
    </row>
    <row r="95" ht="15.75" customHeight="1">
      <c r="A95" s="18">
        <f>IFERROR(__xludf.DUMMYFUNCTION("""COMPUTED_VALUE"""),45857.48522587963)</f>
        <v>45857.48523</v>
      </c>
      <c r="B95" s="2" t="str">
        <f>IFERROR(__xludf.DUMMYFUNCTION("""COMPUTED_VALUE"""),"Post 16")</f>
        <v>Post 16</v>
      </c>
      <c r="C95" s="2" t="str">
        <f>IFERROR(__xludf.DUMMYFUNCTION("""COMPUTED_VALUE"""),"LAG 41")</f>
        <v>LAG 41</v>
      </c>
      <c r="D95" s="2">
        <f>IFERROR(__xludf.DUMMYFUNCTION("""COMPUTED_VALUE"""),27.0)</f>
        <v>27</v>
      </c>
      <c r="E95" s="2" t="str">
        <f>IFERROR(__xludf.DUMMYFUNCTION("""COMPUTED_VALUE"""),"Mixlag")</f>
        <v>Mixlag</v>
      </c>
    </row>
    <row r="96" ht="15.75" customHeight="1">
      <c r="A96" s="18">
        <f>IFERROR(__xludf.DUMMYFUNCTION("""COMPUTED_VALUE"""),45857.485650613424)</f>
        <v>45857.48565</v>
      </c>
      <c r="B96" s="2" t="str">
        <f>IFERROR(__xludf.DUMMYFUNCTION("""COMPUTED_VALUE"""),"Post 20")</f>
        <v>Post 20</v>
      </c>
      <c r="C96" s="2" t="str">
        <f>IFERROR(__xludf.DUMMYFUNCTION("""COMPUTED_VALUE"""),"LAG 79")</f>
        <v>LAG 79</v>
      </c>
      <c r="D96" s="2">
        <f>IFERROR(__xludf.DUMMYFUNCTION("""COMPUTED_VALUE"""),20.0)</f>
        <v>20</v>
      </c>
      <c r="E96" s="2" t="str">
        <f>IFERROR(__xludf.DUMMYFUNCTION("""COMPUTED_VALUE"""),"Herrelag")</f>
        <v>Herrelag</v>
      </c>
    </row>
    <row r="97" ht="15.75" customHeight="1">
      <c r="A97" s="18">
        <f>IFERROR(__xludf.DUMMYFUNCTION("""COMPUTED_VALUE"""),45857.48609356482)</f>
        <v>45857.48609</v>
      </c>
      <c r="B97" s="2" t="str">
        <f>IFERROR(__xludf.DUMMYFUNCTION("""COMPUTED_VALUE"""),"Post 4")</f>
        <v>Post 4</v>
      </c>
      <c r="C97" s="2" t="str">
        <f>IFERROR(__xludf.DUMMYFUNCTION("""COMPUTED_VALUE"""),"LAG 72")</f>
        <v>LAG 72</v>
      </c>
      <c r="D97" s="2">
        <f>IFERROR(__xludf.DUMMYFUNCTION("""COMPUTED_VALUE"""),15.0)</f>
        <v>15</v>
      </c>
      <c r="E97" s="2" t="str">
        <f>IFERROR(__xludf.DUMMYFUNCTION("""COMPUTED_VALUE"""),"Herrelag")</f>
        <v>Herrelag</v>
      </c>
    </row>
    <row r="98" ht="15.75" customHeight="1">
      <c r="A98" s="18">
        <f>IFERROR(__xludf.DUMMYFUNCTION("""COMPUTED_VALUE"""),45857.48620265046)</f>
        <v>45857.4862</v>
      </c>
      <c r="B98" s="2" t="str">
        <f>IFERROR(__xludf.DUMMYFUNCTION("""COMPUTED_VALUE"""),"Post 9")</f>
        <v>Post 9</v>
      </c>
      <c r="C98" s="2" t="str">
        <f>IFERROR(__xludf.DUMMYFUNCTION("""COMPUTED_VALUE"""),"LAG 84")</f>
        <v>LAG 84</v>
      </c>
      <c r="D98" s="2">
        <f>IFERROR(__xludf.DUMMYFUNCTION("""COMPUTED_VALUE"""),18.0)</f>
        <v>18</v>
      </c>
      <c r="E98" s="2" t="str">
        <f>IFERROR(__xludf.DUMMYFUNCTION("""COMPUTED_VALUE"""),"Herrelag")</f>
        <v>Herrelag</v>
      </c>
    </row>
    <row r="99" ht="15.75" customHeight="1">
      <c r="A99" s="18">
        <f>IFERROR(__xludf.DUMMYFUNCTION("""COMPUTED_VALUE"""),45857.48637665509)</f>
        <v>45857.48638</v>
      </c>
      <c r="B99" s="2" t="str">
        <f>IFERROR(__xludf.DUMMYFUNCTION("""COMPUTED_VALUE"""),"Post 8")</f>
        <v>Post 8</v>
      </c>
      <c r="C99" s="2" t="str">
        <f>IFERROR(__xludf.DUMMYFUNCTION("""COMPUTED_VALUE"""),"LAG 15")</f>
        <v>LAG 15</v>
      </c>
      <c r="D99" s="2">
        <f>IFERROR(__xludf.DUMMYFUNCTION("""COMPUTED_VALUE"""),3.0)</f>
        <v>3</v>
      </c>
      <c r="E99" s="2" t="str">
        <f>IFERROR(__xludf.DUMMYFUNCTION("""COMPUTED_VALUE"""),"Herrelag")</f>
        <v>Herrelag</v>
      </c>
    </row>
    <row r="100" ht="15.75" customHeight="1">
      <c r="A100" s="18">
        <f>IFERROR(__xludf.DUMMYFUNCTION("""COMPUTED_VALUE"""),45857.486425509254)</f>
        <v>45857.48643</v>
      </c>
      <c r="B100" s="2" t="str">
        <f>IFERROR(__xludf.DUMMYFUNCTION("""COMPUTED_VALUE"""),"Post 12")</f>
        <v>Post 12</v>
      </c>
      <c r="C100" s="2" t="str">
        <f>IFERROR(__xludf.DUMMYFUNCTION("""COMPUTED_VALUE"""),"LAG 76")</f>
        <v>LAG 76</v>
      </c>
      <c r="D100" s="2">
        <f>IFERROR(__xludf.DUMMYFUNCTION("""COMPUTED_VALUE"""),16.0)</f>
        <v>16</v>
      </c>
      <c r="E100" s="2" t="str">
        <f>IFERROR(__xludf.DUMMYFUNCTION("""COMPUTED_VALUE"""),"Mixlag")</f>
        <v>Mixlag</v>
      </c>
    </row>
    <row r="101" ht="15.75" customHeight="1">
      <c r="A101" s="18">
        <f>IFERROR(__xludf.DUMMYFUNCTION("""COMPUTED_VALUE"""),45857.486688668985)</f>
        <v>45857.48669</v>
      </c>
      <c r="B101" s="2" t="str">
        <f>IFERROR(__xludf.DUMMYFUNCTION("""COMPUTED_VALUE"""),"Post 2")</f>
        <v>Post 2</v>
      </c>
      <c r="C101" s="2" t="str">
        <f>IFERROR(__xludf.DUMMYFUNCTION("""COMPUTED_VALUE"""),"LAG 65")</f>
        <v>LAG 65</v>
      </c>
      <c r="D101" s="2">
        <f>IFERROR(__xludf.DUMMYFUNCTION("""COMPUTED_VALUE"""),15.0)</f>
        <v>15</v>
      </c>
      <c r="E101" s="2" t="str">
        <f>IFERROR(__xludf.DUMMYFUNCTION("""COMPUTED_VALUE"""),"Mixlag")</f>
        <v>Mixlag</v>
      </c>
    </row>
    <row r="102" ht="15.75" customHeight="1">
      <c r="A102" s="18">
        <f>IFERROR(__xludf.DUMMYFUNCTION("""COMPUTED_VALUE"""),45857.48743075231)</f>
        <v>45857.48743</v>
      </c>
      <c r="B102" s="2" t="str">
        <f>IFERROR(__xludf.DUMMYFUNCTION("""COMPUTED_VALUE"""),"Post 15")</f>
        <v>Post 15</v>
      </c>
      <c r="C102" s="2" t="str">
        <f>IFERROR(__xludf.DUMMYFUNCTION("""COMPUTED_VALUE"""),"LAG 37")</f>
        <v>LAG 37</v>
      </c>
      <c r="D102" s="2">
        <f>IFERROR(__xludf.DUMMYFUNCTION("""COMPUTED_VALUE"""),20.0)</f>
        <v>20</v>
      </c>
      <c r="E102" s="2" t="str">
        <f>IFERROR(__xludf.DUMMYFUNCTION("""COMPUTED_VALUE"""),"Herrelag")</f>
        <v>Herrelag</v>
      </c>
    </row>
    <row r="103" ht="15.75" customHeight="1">
      <c r="A103" s="18">
        <f>IFERROR(__xludf.DUMMYFUNCTION("""COMPUTED_VALUE"""),45857.48774315973)</f>
        <v>45857.48774</v>
      </c>
      <c r="B103" s="2" t="str">
        <f>IFERROR(__xludf.DUMMYFUNCTION("""COMPUTED_VALUE"""),"Post 6")</f>
        <v>Post 6</v>
      </c>
      <c r="C103" s="2" t="str">
        <f>IFERROR(__xludf.DUMMYFUNCTION("""COMPUTED_VALUE"""),"LAG 42")</f>
        <v>LAG 42</v>
      </c>
      <c r="D103" s="2">
        <f>IFERROR(__xludf.DUMMYFUNCTION("""COMPUTED_VALUE"""),0.0)</f>
        <v>0</v>
      </c>
      <c r="E103" s="2" t="str">
        <f>IFERROR(__xludf.DUMMYFUNCTION("""COMPUTED_VALUE"""),"Damelag")</f>
        <v>Damelag</v>
      </c>
    </row>
    <row r="104" ht="15.75" customHeight="1">
      <c r="A104" s="18">
        <f>IFERROR(__xludf.DUMMYFUNCTION("""COMPUTED_VALUE"""),45857.48844829861)</f>
        <v>45857.48845</v>
      </c>
      <c r="B104" s="2" t="str">
        <f>IFERROR(__xludf.DUMMYFUNCTION("""COMPUTED_VALUE"""),"Post 4")</f>
        <v>Post 4</v>
      </c>
      <c r="C104" s="2" t="str">
        <f>IFERROR(__xludf.DUMMYFUNCTION("""COMPUTED_VALUE"""),"LAG 76")</f>
        <v>LAG 76</v>
      </c>
      <c r="D104" s="2">
        <f>IFERROR(__xludf.DUMMYFUNCTION("""COMPUTED_VALUE"""),15.0)</f>
        <v>15</v>
      </c>
      <c r="E104" s="2" t="str">
        <f>IFERROR(__xludf.DUMMYFUNCTION("""COMPUTED_VALUE"""),"Mixlag")</f>
        <v>Mixlag</v>
      </c>
    </row>
    <row r="105" ht="15.75" customHeight="1">
      <c r="A105" s="18">
        <f>IFERROR(__xludf.DUMMYFUNCTION("""COMPUTED_VALUE"""),45857.489239745366)</f>
        <v>45857.48924</v>
      </c>
      <c r="B105" s="2" t="str">
        <f>IFERROR(__xludf.DUMMYFUNCTION("""COMPUTED_VALUE"""),"Post 16")</f>
        <v>Post 16</v>
      </c>
      <c r="C105" s="2" t="str">
        <f>IFERROR(__xludf.DUMMYFUNCTION("""COMPUTED_VALUE"""),"LAG 15")</f>
        <v>LAG 15</v>
      </c>
      <c r="D105" s="2">
        <f>IFERROR(__xludf.DUMMYFUNCTION("""COMPUTED_VALUE"""),26.0)</f>
        <v>26</v>
      </c>
      <c r="E105" s="2" t="str">
        <f>IFERROR(__xludf.DUMMYFUNCTION("""COMPUTED_VALUE"""),"Herrelag")</f>
        <v>Herrelag</v>
      </c>
    </row>
    <row r="106" ht="15.75" customHeight="1">
      <c r="A106" s="18">
        <f>IFERROR(__xludf.DUMMYFUNCTION("""COMPUTED_VALUE"""),45857.48924571759)</f>
        <v>45857.48925</v>
      </c>
      <c r="B106" s="2" t="str">
        <f>IFERROR(__xludf.DUMMYFUNCTION("""COMPUTED_VALUE"""),"Post 12")</f>
        <v>Post 12</v>
      </c>
      <c r="C106" s="2" t="str">
        <f>IFERROR(__xludf.DUMMYFUNCTION("""COMPUTED_VALUE"""),"LAG 34")</f>
        <v>LAG 34</v>
      </c>
      <c r="D106" s="2">
        <f>IFERROR(__xludf.DUMMYFUNCTION("""COMPUTED_VALUE"""),15.0)</f>
        <v>15</v>
      </c>
      <c r="E106" s="2" t="str">
        <f>IFERROR(__xludf.DUMMYFUNCTION("""COMPUTED_VALUE"""),"Damelag")</f>
        <v>Damelag</v>
      </c>
    </row>
    <row r="107" ht="15.75" customHeight="1">
      <c r="A107" s="18">
        <f>IFERROR(__xludf.DUMMYFUNCTION("""COMPUTED_VALUE"""),45857.489374467594)</f>
        <v>45857.48937</v>
      </c>
      <c r="B107" s="2" t="str">
        <f>IFERROR(__xludf.DUMMYFUNCTION("""COMPUTED_VALUE"""),"Post 10")</f>
        <v>Post 10</v>
      </c>
      <c r="C107" s="2" t="str">
        <f>IFERROR(__xludf.DUMMYFUNCTION("""COMPUTED_VALUE"""),"LAG 80")</f>
        <v>LAG 80</v>
      </c>
      <c r="D107" s="2">
        <f>IFERROR(__xludf.DUMMYFUNCTION("""COMPUTED_VALUE"""),15.0)</f>
        <v>15</v>
      </c>
      <c r="E107" s="2" t="str">
        <f>IFERROR(__xludf.DUMMYFUNCTION("""COMPUTED_VALUE"""),"Herrelag")</f>
        <v>Herrelag</v>
      </c>
    </row>
    <row r="108" ht="15.75" customHeight="1">
      <c r="A108" s="18">
        <f>IFERROR(__xludf.DUMMYFUNCTION("""COMPUTED_VALUE"""),45857.489383576394)</f>
        <v>45857.48938</v>
      </c>
      <c r="B108" s="2" t="str">
        <f>IFERROR(__xludf.DUMMYFUNCTION("""COMPUTED_VALUE"""),"Post 4")</f>
        <v>Post 4</v>
      </c>
      <c r="C108" s="2" t="str">
        <f>IFERROR(__xludf.DUMMYFUNCTION("""COMPUTED_VALUE"""),"LAG 16")</f>
        <v>LAG 16</v>
      </c>
      <c r="D108" s="2">
        <f>IFERROR(__xludf.DUMMYFUNCTION("""COMPUTED_VALUE"""),15.0)</f>
        <v>15</v>
      </c>
      <c r="E108" s="2" t="str">
        <f>IFERROR(__xludf.DUMMYFUNCTION("""COMPUTED_VALUE"""),"Herrelag")</f>
        <v>Herrelag</v>
      </c>
    </row>
    <row r="109" ht="15.75" customHeight="1">
      <c r="A109" s="18">
        <f>IFERROR(__xludf.DUMMYFUNCTION("""COMPUTED_VALUE"""),45857.48943123843)</f>
        <v>45857.48943</v>
      </c>
      <c r="B109" s="2" t="str">
        <f>IFERROR(__xludf.DUMMYFUNCTION("""COMPUTED_VALUE"""),"Post 16")</f>
        <v>Post 16</v>
      </c>
      <c r="C109" s="2" t="str">
        <f>IFERROR(__xludf.DUMMYFUNCTION("""COMPUTED_VALUE"""),"LAG 48")</f>
        <v>LAG 48</v>
      </c>
      <c r="D109" s="2">
        <f>IFERROR(__xludf.DUMMYFUNCTION("""COMPUTED_VALUE"""),18.0)</f>
        <v>18</v>
      </c>
      <c r="E109" s="2" t="str">
        <f>IFERROR(__xludf.DUMMYFUNCTION("""COMPUTED_VALUE"""),"Damelag")</f>
        <v>Damelag</v>
      </c>
    </row>
    <row r="110" ht="15.75" customHeight="1">
      <c r="A110" s="18">
        <f>IFERROR(__xludf.DUMMYFUNCTION("""COMPUTED_VALUE"""),45857.48946354167)</f>
        <v>45857.48946</v>
      </c>
      <c r="B110" s="2" t="str">
        <f>IFERROR(__xludf.DUMMYFUNCTION("""COMPUTED_VALUE"""),"Post 5")</f>
        <v>Post 5</v>
      </c>
      <c r="C110" s="2" t="str">
        <f>IFERROR(__xludf.DUMMYFUNCTION("""COMPUTED_VALUE"""),"LAG 41")</f>
        <v>LAG 41</v>
      </c>
      <c r="D110" s="2">
        <f>IFERROR(__xludf.DUMMYFUNCTION("""COMPUTED_VALUE"""),10.0)</f>
        <v>10</v>
      </c>
      <c r="E110" s="2" t="str">
        <f>IFERROR(__xludf.DUMMYFUNCTION("""COMPUTED_VALUE"""),"Mixlag")</f>
        <v>Mixlag</v>
      </c>
    </row>
    <row r="111" ht="15.75" customHeight="1">
      <c r="A111" s="18">
        <f>IFERROR(__xludf.DUMMYFUNCTION("""COMPUTED_VALUE"""),45857.48953835648)</f>
        <v>45857.48954</v>
      </c>
      <c r="B111" s="2" t="str">
        <f>IFERROR(__xludf.DUMMYFUNCTION("""COMPUTED_VALUE"""),"Post 10")</f>
        <v>Post 10</v>
      </c>
      <c r="C111" s="2" t="str">
        <f>IFERROR(__xludf.DUMMYFUNCTION("""COMPUTED_VALUE"""),"LAG 15")</f>
        <v>LAG 15</v>
      </c>
      <c r="D111" s="2">
        <f>IFERROR(__xludf.DUMMYFUNCTION("""COMPUTED_VALUE"""),15.0)</f>
        <v>15</v>
      </c>
      <c r="E111" s="2" t="str">
        <f>IFERROR(__xludf.DUMMYFUNCTION("""COMPUTED_VALUE"""),"Herrelag")</f>
        <v>Herrelag</v>
      </c>
    </row>
    <row r="112" ht="15.75" customHeight="1">
      <c r="A112" s="18">
        <f>IFERROR(__xludf.DUMMYFUNCTION("""COMPUTED_VALUE"""),45857.48991674768)</f>
        <v>45857.48992</v>
      </c>
      <c r="B112" s="2" t="str">
        <f>IFERROR(__xludf.DUMMYFUNCTION("""COMPUTED_VALUE"""),"Post 18")</f>
        <v>Post 18</v>
      </c>
      <c r="C112" s="2" t="str">
        <f>IFERROR(__xludf.DUMMYFUNCTION("""COMPUTED_VALUE"""),"LAG 25")</f>
        <v>LAG 25</v>
      </c>
      <c r="D112" s="2">
        <f>IFERROR(__xludf.DUMMYFUNCTION("""COMPUTED_VALUE"""),14.0)</f>
        <v>14</v>
      </c>
      <c r="E112" s="2" t="str">
        <f>IFERROR(__xludf.DUMMYFUNCTION("""COMPUTED_VALUE"""),"Herrelag")</f>
        <v>Herrelag</v>
      </c>
    </row>
    <row r="113" ht="15.75" customHeight="1">
      <c r="A113" s="18">
        <f>IFERROR(__xludf.DUMMYFUNCTION("""COMPUTED_VALUE"""),45857.4899237037)</f>
        <v>45857.48992</v>
      </c>
      <c r="B113" s="2" t="str">
        <f>IFERROR(__xludf.DUMMYFUNCTION("""COMPUTED_VALUE"""),"Post 9")</f>
        <v>Post 9</v>
      </c>
      <c r="C113" s="2" t="str">
        <f>IFERROR(__xludf.DUMMYFUNCTION("""COMPUTED_VALUE"""),"LAG 51")</f>
        <v>LAG 51</v>
      </c>
      <c r="D113" s="2">
        <f>IFERROR(__xludf.DUMMYFUNCTION("""COMPUTED_VALUE"""),24.0)</f>
        <v>24</v>
      </c>
      <c r="E113" s="2" t="str">
        <f>IFERROR(__xludf.DUMMYFUNCTION("""COMPUTED_VALUE"""),"Mixlag")</f>
        <v>Mixlag</v>
      </c>
    </row>
    <row r="114" ht="15.75" customHeight="1">
      <c r="A114" s="18">
        <f>IFERROR(__xludf.DUMMYFUNCTION("""COMPUTED_VALUE"""),45857.48994829861)</f>
        <v>45857.48995</v>
      </c>
      <c r="B114" s="2" t="str">
        <f>IFERROR(__xludf.DUMMYFUNCTION("""COMPUTED_VALUE"""),"Post 4")</f>
        <v>Post 4</v>
      </c>
      <c r="C114" s="2" t="str">
        <f>IFERROR(__xludf.DUMMYFUNCTION("""COMPUTED_VALUE"""),"LAG 53")</f>
        <v>LAG 53</v>
      </c>
      <c r="D114" s="2">
        <f>IFERROR(__xludf.DUMMYFUNCTION("""COMPUTED_VALUE"""),15.0)</f>
        <v>15</v>
      </c>
      <c r="E114" s="2" t="str">
        <f>IFERROR(__xludf.DUMMYFUNCTION("""COMPUTED_VALUE"""),"Damelag")</f>
        <v>Damelag</v>
      </c>
    </row>
    <row r="115" ht="15.75" customHeight="1">
      <c r="A115" s="18">
        <f>IFERROR(__xludf.DUMMYFUNCTION("""COMPUTED_VALUE"""),45857.49004740741)</f>
        <v>45857.49005</v>
      </c>
      <c r="B115" s="2" t="str">
        <f>IFERROR(__xludf.DUMMYFUNCTION("""COMPUTED_VALUE"""),"Post 6")</f>
        <v>Post 6</v>
      </c>
      <c r="C115" s="2" t="str">
        <f>IFERROR(__xludf.DUMMYFUNCTION("""COMPUTED_VALUE"""),"LAG 22")</f>
        <v>LAG 22</v>
      </c>
      <c r="D115" s="2">
        <f>IFERROR(__xludf.DUMMYFUNCTION("""COMPUTED_VALUE"""),20.0)</f>
        <v>20</v>
      </c>
      <c r="E115" s="2" t="str">
        <f>IFERROR(__xludf.DUMMYFUNCTION("""COMPUTED_VALUE"""),"Damelag")</f>
        <v>Damelag</v>
      </c>
    </row>
    <row r="116" ht="15.75" customHeight="1">
      <c r="A116" s="18">
        <f>IFERROR(__xludf.DUMMYFUNCTION("""COMPUTED_VALUE"""),45857.490974768516)</f>
        <v>45857.49097</v>
      </c>
      <c r="B116" s="2" t="str">
        <f>IFERROR(__xludf.DUMMYFUNCTION("""COMPUTED_VALUE"""),"Post 4")</f>
        <v>Post 4</v>
      </c>
      <c r="C116" s="2" t="str">
        <f>IFERROR(__xludf.DUMMYFUNCTION("""COMPUTED_VALUE"""),"LAG 34")</f>
        <v>LAG 34</v>
      </c>
      <c r="D116" s="2">
        <f>IFERROR(__xludf.DUMMYFUNCTION("""COMPUTED_VALUE"""),15.0)</f>
        <v>15</v>
      </c>
      <c r="E116" s="2" t="str">
        <f>IFERROR(__xludf.DUMMYFUNCTION("""COMPUTED_VALUE"""),"Damelag")</f>
        <v>Damelag</v>
      </c>
    </row>
    <row r="117" ht="15.75" customHeight="1">
      <c r="A117" s="18">
        <f>IFERROR(__xludf.DUMMYFUNCTION("""COMPUTED_VALUE"""),45857.49127916667)</f>
        <v>45857.49128</v>
      </c>
      <c r="B117" s="2" t="str">
        <f>IFERROR(__xludf.DUMMYFUNCTION("""COMPUTED_VALUE"""),"Post 6")</f>
        <v>Post 6</v>
      </c>
      <c r="C117" s="2" t="str">
        <f>IFERROR(__xludf.DUMMYFUNCTION("""COMPUTED_VALUE"""),"LAG 41")</f>
        <v>LAG 41</v>
      </c>
      <c r="D117" s="2">
        <f>IFERROR(__xludf.DUMMYFUNCTION("""COMPUTED_VALUE"""),20.0)</f>
        <v>20</v>
      </c>
      <c r="E117" s="2" t="str">
        <f>IFERROR(__xludf.DUMMYFUNCTION("""COMPUTED_VALUE"""),"Mixlag")</f>
        <v>Mixlag</v>
      </c>
    </row>
    <row r="118" ht="15.75" customHeight="1">
      <c r="A118" s="18">
        <f>IFERROR(__xludf.DUMMYFUNCTION("""COMPUTED_VALUE"""),45857.49221563658)</f>
        <v>45857.49222</v>
      </c>
      <c r="B118" s="2" t="str">
        <f>IFERROR(__xludf.DUMMYFUNCTION("""COMPUTED_VALUE"""),"Post 18")</f>
        <v>Post 18</v>
      </c>
      <c r="C118" s="2" t="str">
        <f>IFERROR(__xludf.DUMMYFUNCTION("""COMPUTED_VALUE"""),"LAG 17")</f>
        <v>LAG 17</v>
      </c>
      <c r="D118" s="2">
        <f>IFERROR(__xludf.DUMMYFUNCTION("""COMPUTED_VALUE"""),9.0)</f>
        <v>9</v>
      </c>
      <c r="E118" s="2" t="str">
        <f>IFERROR(__xludf.DUMMYFUNCTION("""COMPUTED_VALUE"""),"Damelag")</f>
        <v>Damelag</v>
      </c>
    </row>
    <row r="119" ht="15.75" customHeight="1">
      <c r="A119" s="18">
        <f>IFERROR(__xludf.DUMMYFUNCTION("""COMPUTED_VALUE"""),45857.492241875)</f>
        <v>45857.49224</v>
      </c>
      <c r="B119" s="2" t="str">
        <f>IFERROR(__xludf.DUMMYFUNCTION("""COMPUTED_VALUE"""),"Post 4")</f>
        <v>Post 4</v>
      </c>
      <c r="C119" s="2" t="str">
        <f>IFERROR(__xludf.DUMMYFUNCTION("""COMPUTED_VALUE"""),"LAG 50")</f>
        <v>LAG 50</v>
      </c>
      <c r="D119" s="2">
        <f>IFERROR(__xludf.DUMMYFUNCTION("""COMPUTED_VALUE"""),15.0)</f>
        <v>15</v>
      </c>
      <c r="E119" s="2" t="str">
        <f>IFERROR(__xludf.DUMMYFUNCTION("""COMPUTED_VALUE"""),"Herrelag")</f>
        <v>Herrelag</v>
      </c>
    </row>
    <row r="120" ht="15.75" customHeight="1">
      <c r="A120" s="18">
        <f>IFERROR(__xludf.DUMMYFUNCTION("""COMPUTED_VALUE"""),45857.4923806713)</f>
        <v>45857.49238</v>
      </c>
      <c r="B120" s="2" t="str">
        <f>IFERROR(__xludf.DUMMYFUNCTION("""COMPUTED_VALUE"""),"Post 12")</f>
        <v>Post 12</v>
      </c>
      <c r="C120" s="2" t="str">
        <f>IFERROR(__xludf.DUMMYFUNCTION("""COMPUTED_VALUE"""),"LAG 61")</f>
        <v>LAG 61</v>
      </c>
      <c r="D120" s="2">
        <f>IFERROR(__xludf.DUMMYFUNCTION("""COMPUTED_VALUE"""),12.0)</f>
        <v>12</v>
      </c>
      <c r="E120" s="2" t="str">
        <f>IFERROR(__xludf.DUMMYFUNCTION("""COMPUTED_VALUE"""),"Mixlag")</f>
        <v>Mixlag</v>
      </c>
    </row>
    <row r="121" ht="15.75" customHeight="1">
      <c r="A121" s="18">
        <f>IFERROR(__xludf.DUMMYFUNCTION("""COMPUTED_VALUE"""),45857.49239961806)</f>
        <v>45857.4924</v>
      </c>
      <c r="B121" s="2" t="str">
        <f>IFERROR(__xludf.DUMMYFUNCTION("""COMPUTED_VALUE"""),"Post 15")</f>
        <v>Post 15</v>
      </c>
      <c r="C121" s="2" t="str">
        <f>IFERROR(__xludf.DUMMYFUNCTION("""COMPUTED_VALUE"""),"LAG 59")</f>
        <v>LAG 59</v>
      </c>
      <c r="D121" s="2">
        <f>IFERROR(__xludf.DUMMYFUNCTION("""COMPUTED_VALUE"""),20.0)</f>
        <v>20</v>
      </c>
      <c r="E121" s="2" t="str">
        <f>IFERROR(__xludf.DUMMYFUNCTION("""COMPUTED_VALUE"""),"Damelag")</f>
        <v>Damelag</v>
      </c>
    </row>
    <row r="122" ht="15.75" customHeight="1">
      <c r="A122" s="18">
        <f>IFERROR(__xludf.DUMMYFUNCTION("""COMPUTED_VALUE"""),45857.4926465162)</f>
        <v>45857.49265</v>
      </c>
      <c r="B122" s="2" t="str">
        <f>IFERROR(__xludf.DUMMYFUNCTION("""COMPUTED_VALUE"""),"Post 12")</f>
        <v>Post 12</v>
      </c>
      <c r="C122" s="2" t="str">
        <f>IFERROR(__xludf.DUMMYFUNCTION("""COMPUTED_VALUE"""),"LAG 71")</f>
        <v>LAG 71</v>
      </c>
      <c r="D122" s="2">
        <f>IFERROR(__xludf.DUMMYFUNCTION("""COMPUTED_VALUE"""),8.0)</f>
        <v>8</v>
      </c>
      <c r="E122" s="2" t="str">
        <f>IFERROR(__xludf.DUMMYFUNCTION("""COMPUTED_VALUE"""),"Damelag")</f>
        <v>Damelag</v>
      </c>
    </row>
    <row r="123" ht="15.75" customHeight="1">
      <c r="A123" s="18">
        <f>IFERROR(__xludf.DUMMYFUNCTION("""COMPUTED_VALUE"""),45857.49278435185)</f>
        <v>45857.49278</v>
      </c>
      <c r="B123" s="2" t="str">
        <f>IFERROR(__xludf.DUMMYFUNCTION("""COMPUTED_VALUE"""),"Post 8")</f>
        <v>Post 8</v>
      </c>
      <c r="C123" s="2" t="str">
        <f>IFERROR(__xludf.DUMMYFUNCTION("""COMPUTED_VALUE"""),"LAG 25")</f>
        <v>LAG 25</v>
      </c>
      <c r="D123" s="2">
        <f>IFERROR(__xludf.DUMMYFUNCTION("""COMPUTED_VALUE"""),8.0)</f>
        <v>8</v>
      </c>
      <c r="E123" s="2" t="str">
        <f>IFERROR(__xludf.DUMMYFUNCTION("""COMPUTED_VALUE"""),"Herrelag")</f>
        <v>Herrelag</v>
      </c>
    </row>
    <row r="124" ht="15.75" customHeight="1">
      <c r="A124" s="18">
        <f>IFERROR(__xludf.DUMMYFUNCTION("""COMPUTED_VALUE"""),45857.492942129626)</f>
        <v>45857.49294</v>
      </c>
      <c r="B124" s="2" t="str">
        <f>IFERROR(__xludf.DUMMYFUNCTION("""COMPUTED_VALUE"""),"Post 12")</f>
        <v>Post 12</v>
      </c>
      <c r="C124" s="2" t="str">
        <f>IFERROR(__xludf.DUMMYFUNCTION("""COMPUTED_VALUE"""),"LAG 68")</f>
        <v>LAG 68</v>
      </c>
      <c r="D124" s="2">
        <f>IFERROR(__xludf.DUMMYFUNCTION("""COMPUTED_VALUE"""),10.0)</f>
        <v>10</v>
      </c>
      <c r="E124" s="2" t="str">
        <f>IFERROR(__xludf.DUMMYFUNCTION("""COMPUTED_VALUE"""),"Damelag")</f>
        <v>Damelag</v>
      </c>
    </row>
    <row r="125" ht="15.75" customHeight="1">
      <c r="A125" s="18">
        <f>IFERROR(__xludf.DUMMYFUNCTION("""COMPUTED_VALUE"""),45857.49321487268)</f>
        <v>45857.49321</v>
      </c>
      <c r="B125" s="2" t="str">
        <f>IFERROR(__xludf.DUMMYFUNCTION("""COMPUTED_VALUE"""),"Post 4")</f>
        <v>Post 4</v>
      </c>
      <c r="C125" s="2" t="str">
        <f>IFERROR(__xludf.DUMMYFUNCTION("""COMPUTED_VALUE"""),"LAG 41")</f>
        <v>LAG 41</v>
      </c>
      <c r="D125" s="2">
        <f>IFERROR(__xludf.DUMMYFUNCTION("""COMPUTED_VALUE"""),15.0)</f>
        <v>15</v>
      </c>
      <c r="E125" s="2" t="str">
        <f>IFERROR(__xludf.DUMMYFUNCTION("""COMPUTED_VALUE"""),"Mixlag")</f>
        <v>Mixlag</v>
      </c>
    </row>
    <row r="126" ht="15.75" customHeight="1">
      <c r="A126" s="18">
        <f>IFERROR(__xludf.DUMMYFUNCTION("""COMPUTED_VALUE"""),45857.49327590277)</f>
        <v>45857.49328</v>
      </c>
      <c r="B126" s="2" t="str">
        <f>IFERROR(__xludf.DUMMYFUNCTION("""COMPUTED_VALUE"""),"Post 12")</f>
        <v>Post 12</v>
      </c>
      <c r="C126" s="2" t="str">
        <f>IFERROR(__xludf.DUMMYFUNCTION("""COMPUTED_VALUE"""),"LAG 22")</f>
        <v>LAG 22</v>
      </c>
      <c r="D126" s="2">
        <f>IFERROR(__xludf.DUMMYFUNCTION("""COMPUTED_VALUE"""),16.0)</f>
        <v>16</v>
      </c>
      <c r="E126" s="2" t="str">
        <f>IFERROR(__xludf.DUMMYFUNCTION("""COMPUTED_VALUE"""),"Mixlag")</f>
        <v>Mixlag</v>
      </c>
    </row>
    <row r="127" ht="15.75" customHeight="1">
      <c r="A127" s="18">
        <f>IFERROR(__xludf.DUMMYFUNCTION("""COMPUTED_VALUE"""),45857.49329408565)</f>
        <v>45857.49329</v>
      </c>
      <c r="B127" s="2" t="str">
        <f>IFERROR(__xludf.DUMMYFUNCTION("""COMPUTED_VALUE"""),"Post 2")</f>
        <v>Post 2</v>
      </c>
      <c r="C127" s="2" t="str">
        <f>IFERROR(__xludf.DUMMYFUNCTION("""COMPUTED_VALUE"""),"LAG 51")</f>
        <v>LAG 51</v>
      </c>
      <c r="D127" s="2">
        <f>IFERROR(__xludf.DUMMYFUNCTION("""COMPUTED_VALUE"""),15.0)</f>
        <v>15</v>
      </c>
      <c r="E127" s="2" t="str">
        <f>IFERROR(__xludf.DUMMYFUNCTION("""COMPUTED_VALUE"""),"Mixlag")</f>
        <v>Mixlag</v>
      </c>
    </row>
    <row r="128" ht="15.75" customHeight="1">
      <c r="A128" s="18">
        <f>IFERROR(__xludf.DUMMYFUNCTION("""COMPUTED_VALUE"""),45857.49343335648)</f>
        <v>45857.49343</v>
      </c>
      <c r="B128" s="2" t="str">
        <f>IFERROR(__xludf.DUMMYFUNCTION("""COMPUTED_VALUE"""),"Post 9")</f>
        <v>Post 9</v>
      </c>
      <c r="C128" s="2" t="str">
        <f>IFERROR(__xludf.DUMMYFUNCTION("""COMPUTED_VALUE"""),"LAG 78")</f>
        <v>LAG 78</v>
      </c>
      <c r="D128" s="2">
        <f>IFERROR(__xludf.DUMMYFUNCTION("""COMPUTED_VALUE"""),26.0)</f>
        <v>26</v>
      </c>
      <c r="E128" s="2" t="str">
        <f>IFERROR(__xludf.DUMMYFUNCTION("""COMPUTED_VALUE"""),"Damelag")</f>
        <v>Damelag</v>
      </c>
    </row>
    <row r="129" ht="15.75" customHeight="1">
      <c r="A129" s="18">
        <f>IFERROR(__xludf.DUMMYFUNCTION("""COMPUTED_VALUE"""),45857.49351767361)</f>
        <v>45857.49352</v>
      </c>
      <c r="B129" s="2" t="str">
        <f>IFERROR(__xludf.DUMMYFUNCTION("""COMPUTED_VALUE"""),"Post 12")</f>
        <v>Post 12</v>
      </c>
      <c r="C129" s="2" t="str">
        <f>IFERROR(__xludf.DUMMYFUNCTION("""COMPUTED_VALUE"""),"LAG 37")</f>
        <v>LAG 37</v>
      </c>
      <c r="D129" s="2">
        <f>IFERROR(__xludf.DUMMYFUNCTION("""COMPUTED_VALUE"""),5.0)</f>
        <v>5</v>
      </c>
      <c r="E129" s="2" t="str">
        <f>IFERROR(__xludf.DUMMYFUNCTION("""COMPUTED_VALUE"""),"Herrelag")</f>
        <v>Herrelag</v>
      </c>
    </row>
    <row r="130" ht="15.75" customHeight="1">
      <c r="A130" s="18">
        <f>IFERROR(__xludf.DUMMYFUNCTION("""COMPUTED_VALUE"""),45857.49363888889)</f>
        <v>45857.49364</v>
      </c>
      <c r="B130" s="2" t="str">
        <f>IFERROR(__xludf.DUMMYFUNCTION("""COMPUTED_VALUE"""),"Post 15")</f>
        <v>Post 15</v>
      </c>
      <c r="C130" s="2" t="str">
        <f>IFERROR(__xludf.DUMMYFUNCTION("""COMPUTED_VALUE"""),"LAG 34")</f>
        <v>LAG 34</v>
      </c>
      <c r="D130" s="2">
        <f>IFERROR(__xludf.DUMMYFUNCTION("""COMPUTED_VALUE"""),15.0)</f>
        <v>15</v>
      </c>
      <c r="E130" s="2" t="str">
        <f>IFERROR(__xludf.DUMMYFUNCTION("""COMPUTED_VALUE"""),"Damelag")</f>
        <v>Damelag</v>
      </c>
    </row>
    <row r="131" ht="15.75" customHeight="1">
      <c r="A131" s="18">
        <f>IFERROR(__xludf.DUMMYFUNCTION("""COMPUTED_VALUE"""),45857.49378416667)</f>
        <v>45857.49378</v>
      </c>
      <c r="B131" s="2" t="str">
        <f>IFERROR(__xludf.DUMMYFUNCTION("""COMPUTED_VALUE"""),"Post 12")</f>
        <v>Post 12</v>
      </c>
      <c r="C131" s="2" t="str">
        <f>IFERROR(__xludf.DUMMYFUNCTION("""COMPUTED_VALUE"""),"LAG 53")</f>
        <v>LAG 53</v>
      </c>
      <c r="D131" s="2">
        <f>IFERROR(__xludf.DUMMYFUNCTION("""COMPUTED_VALUE"""),11.0)</f>
        <v>11</v>
      </c>
      <c r="E131" s="2" t="str">
        <f>IFERROR(__xludf.DUMMYFUNCTION("""COMPUTED_VALUE"""),"Mixlag")</f>
        <v>Mixlag</v>
      </c>
    </row>
    <row r="132" ht="15.75" customHeight="1">
      <c r="A132" s="18">
        <f>IFERROR(__xludf.DUMMYFUNCTION("""COMPUTED_VALUE"""),45857.49408046296)</f>
        <v>45857.49408</v>
      </c>
      <c r="B132" s="2" t="str">
        <f>IFERROR(__xludf.DUMMYFUNCTION("""COMPUTED_VALUE"""),"Post 12")</f>
        <v>Post 12</v>
      </c>
      <c r="C132" s="2" t="str">
        <f>IFERROR(__xludf.DUMMYFUNCTION("""COMPUTED_VALUE"""),"LAG 42")</f>
        <v>LAG 42</v>
      </c>
      <c r="D132" s="2">
        <f>IFERROR(__xludf.DUMMYFUNCTION("""COMPUTED_VALUE"""),16.0)</f>
        <v>16</v>
      </c>
      <c r="E132" s="2" t="str">
        <f>IFERROR(__xludf.DUMMYFUNCTION("""COMPUTED_VALUE"""),"Damelag")</f>
        <v>Damelag</v>
      </c>
    </row>
    <row r="133" ht="15.75" customHeight="1">
      <c r="A133" s="18">
        <f>IFERROR(__xludf.DUMMYFUNCTION("""COMPUTED_VALUE"""),45857.49428899305)</f>
        <v>45857.49429</v>
      </c>
      <c r="B133" s="2" t="str">
        <f>IFERROR(__xludf.DUMMYFUNCTION("""COMPUTED_VALUE"""),"Post 12")</f>
        <v>Post 12</v>
      </c>
      <c r="C133" s="2" t="str">
        <f>IFERROR(__xludf.DUMMYFUNCTION("""COMPUTED_VALUE"""),"LAG 16")</f>
        <v>LAG 16</v>
      </c>
      <c r="D133" s="2">
        <f>IFERROR(__xludf.DUMMYFUNCTION("""COMPUTED_VALUE"""),16.0)</f>
        <v>16</v>
      </c>
      <c r="E133" s="2" t="str">
        <f>IFERROR(__xludf.DUMMYFUNCTION("""COMPUTED_VALUE"""),"Mixlag")</f>
        <v>Mixlag</v>
      </c>
    </row>
    <row r="134" ht="15.75" customHeight="1">
      <c r="A134" s="18">
        <f>IFERROR(__xludf.DUMMYFUNCTION("""COMPUTED_VALUE"""),45857.49440711805)</f>
        <v>45857.49441</v>
      </c>
      <c r="B134" s="2" t="str">
        <f>IFERROR(__xludf.DUMMYFUNCTION("""COMPUTED_VALUE"""),"Post 2")</f>
        <v>Post 2</v>
      </c>
      <c r="C134" s="2" t="str">
        <f>IFERROR(__xludf.DUMMYFUNCTION("""COMPUTED_VALUE"""),"LAG 77")</f>
        <v>LAG 77</v>
      </c>
      <c r="D134" s="2">
        <f>IFERROR(__xludf.DUMMYFUNCTION("""COMPUTED_VALUE"""),15.0)</f>
        <v>15</v>
      </c>
      <c r="E134" s="2" t="str">
        <f>IFERROR(__xludf.DUMMYFUNCTION("""COMPUTED_VALUE"""),"Mixlag")</f>
        <v>Mixlag</v>
      </c>
    </row>
    <row r="135" ht="15.75" customHeight="1">
      <c r="A135" s="18">
        <f>IFERROR(__xludf.DUMMYFUNCTION("""COMPUTED_VALUE"""),45857.494532627315)</f>
        <v>45857.49453</v>
      </c>
      <c r="B135" s="2" t="str">
        <f>IFERROR(__xludf.DUMMYFUNCTION("""COMPUTED_VALUE"""),"Post 12")</f>
        <v>Post 12</v>
      </c>
      <c r="C135" s="2" t="str">
        <f>IFERROR(__xludf.DUMMYFUNCTION("""COMPUTED_VALUE"""),"LAG 5")</f>
        <v>LAG 5</v>
      </c>
      <c r="D135" s="2">
        <f>IFERROR(__xludf.DUMMYFUNCTION("""COMPUTED_VALUE"""),12.0)</f>
        <v>12</v>
      </c>
      <c r="E135" s="2" t="str">
        <f>IFERROR(__xludf.DUMMYFUNCTION("""COMPUTED_VALUE"""),"Mixlag")</f>
        <v>Mixlag</v>
      </c>
    </row>
    <row r="136" ht="15.75" customHeight="1">
      <c r="A136" s="18">
        <f>IFERROR(__xludf.DUMMYFUNCTION("""COMPUTED_VALUE"""),45857.49473320602)</f>
        <v>45857.49473</v>
      </c>
      <c r="B136" s="2" t="str">
        <f>IFERROR(__xludf.DUMMYFUNCTION("""COMPUTED_VALUE"""),"Post 12")</f>
        <v>Post 12</v>
      </c>
      <c r="C136" s="2" t="str">
        <f>IFERROR(__xludf.DUMMYFUNCTION("""COMPUTED_VALUE"""),"LAG 17")</f>
        <v>LAG 17</v>
      </c>
      <c r="D136" s="2">
        <f>IFERROR(__xludf.DUMMYFUNCTION("""COMPUTED_VALUE"""),15.0)</f>
        <v>15</v>
      </c>
      <c r="E136" s="2" t="str">
        <f>IFERROR(__xludf.DUMMYFUNCTION("""COMPUTED_VALUE"""),"Damelag")</f>
        <v>Damelag</v>
      </c>
    </row>
    <row r="137" ht="15.75" customHeight="1">
      <c r="A137" s="18">
        <f>IFERROR(__xludf.DUMMYFUNCTION("""COMPUTED_VALUE"""),45857.49483737268)</f>
        <v>45857.49484</v>
      </c>
      <c r="B137" s="2" t="str">
        <f>IFERROR(__xludf.DUMMYFUNCTION("""COMPUTED_VALUE"""),"Post 18")</f>
        <v>Post 18</v>
      </c>
      <c r="C137" s="2" t="str">
        <f>IFERROR(__xludf.DUMMYFUNCTION("""COMPUTED_VALUE"""),"LAG 72")</f>
        <v>LAG 72</v>
      </c>
      <c r="D137" s="2">
        <f>IFERROR(__xludf.DUMMYFUNCTION("""COMPUTED_VALUE"""),15.0)</f>
        <v>15</v>
      </c>
      <c r="E137" s="2" t="str">
        <f>IFERROR(__xludf.DUMMYFUNCTION("""COMPUTED_VALUE"""),"Herrelag")</f>
        <v>Herrelag</v>
      </c>
    </row>
    <row r="138" ht="15.75" customHeight="1">
      <c r="A138" s="18">
        <f>IFERROR(__xludf.DUMMYFUNCTION("""COMPUTED_VALUE"""),45857.49496418981)</f>
        <v>45857.49496</v>
      </c>
      <c r="B138" s="2" t="str">
        <f>IFERROR(__xludf.DUMMYFUNCTION("""COMPUTED_VALUE"""),"Post 8")</f>
        <v>Post 8</v>
      </c>
      <c r="C138" s="2" t="str">
        <f>IFERROR(__xludf.DUMMYFUNCTION("""COMPUTED_VALUE"""),"LAG 65")</f>
        <v>LAG 65</v>
      </c>
      <c r="D138" s="2">
        <f>IFERROR(__xludf.DUMMYFUNCTION("""COMPUTED_VALUE"""),12.0)</f>
        <v>12</v>
      </c>
      <c r="E138" s="2" t="str">
        <f>IFERROR(__xludf.DUMMYFUNCTION("""COMPUTED_VALUE"""),"Mixlag")</f>
        <v>Mixlag</v>
      </c>
    </row>
    <row r="139" ht="15.75" customHeight="1">
      <c r="A139" s="18">
        <f>IFERROR(__xludf.DUMMYFUNCTION("""COMPUTED_VALUE"""),45857.49560778935)</f>
        <v>45857.49561</v>
      </c>
      <c r="B139" s="2" t="str">
        <f>IFERROR(__xludf.DUMMYFUNCTION("""COMPUTED_VALUE"""),"Post 2")</f>
        <v>Post 2</v>
      </c>
      <c r="C139" s="2" t="str">
        <f>IFERROR(__xludf.DUMMYFUNCTION("""COMPUTED_VALUE"""),"LAG 19")</f>
        <v>LAG 19</v>
      </c>
      <c r="D139" s="2">
        <f>IFERROR(__xludf.DUMMYFUNCTION("""COMPUTED_VALUE"""),15.0)</f>
        <v>15</v>
      </c>
      <c r="E139" s="2" t="str">
        <f>IFERROR(__xludf.DUMMYFUNCTION("""COMPUTED_VALUE"""),"Herrelag")</f>
        <v>Herrelag</v>
      </c>
    </row>
    <row r="140" ht="15.75" customHeight="1">
      <c r="A140" s="18">
        <f>IFERROR(__xludf.DUMMYFUNCTION("""COMPUTED_VALUE"""),45857.4959609838)</f>
        <v>45857.49596</v>
      </c>
      <c r="B140" s="2" t="str">
        <f>IFERROR(__xludf.DUMMYFUNCTION("""COMPUTED_VALUE"""),"Post 5")</f>
        <v>Post 5</v>
      </c>
      <c r="C140" s="2" t="str">
        <f>IFERROR(__xludf.DUMMYFUNCTION("""COMPUTED_VALUE"""),"LAG 5")</f>
        <v>LAG 5</v>
      </c>
      <c r="D140" s="2">
        <f>IFERROR(__xludf.DUMMYFUNCTION("""COMPUTED_VALUE"""),10.0)</f>
        <v>10</v>
      </c>
      <c r="E140" s="2" t="str">
        <f>IFERROR(__xludf.DUMMYFUNCTION("""COMPUTED_VALUE"""),"Mixlag")</f>
        <v>Mixlag</v>
      </c>
    </row>
    <row r="141" ht="15.75" customHeight="1">
      <c r="A141" s="18">
        <f>IFERROR(__xludf.DUMMYFUNCTION("""COMPUTED_VALUE"""),45857.49633589121)</f>
        <v>45857.49634</v>
      </c>
      <c r="B141" s="2" t="str">
        <f>IFERROR(__xludf.DUMMYFUNCTION("""COMPUTED_VALUE"""),"Post 6")</f>
        <v>Post 6</v>
      </c>
      <c r="C141" s="2" t="str">
        <f>IFERROR(__xludf.DUMMYFUNCTION("""COMPUTED_VALUE"""),"LAG 50")</f>
        <v>LAG 50</v>
      </c>
      <c r="D141" s="2">
        <f>IFERROR(__xludf.DUMMYFUNCTION("""COMPUTED_VALUE"""),0.0)</f>
        <v>0</v>
      </c>
      <c r="E141" s="2" t="str">
        <f>IFERROR(__xludf.DUMMYFUNCTION("""COMPUTED_VALUE"""),"Herrelag")</f>
        <v>Herrelag</v>
      </c>
    </row>
    <row r="142" ht="15.75" customHeight="1">
      <c r="A142" s="18">
        <f>IFERROR(__xludf.DUMMYFUNCTION("""COMPUTED_VALUE"""),45857.4968299537)</f>
        <v>45857.49683</v>
      </c>
      <c r="B142" s="2" t="str">
        <f>IFERROR(__xludf.DUMMYFUNCTION("""COMPUTED_VALUE"""),"Post 18")</f>
        <v>Post 18</v>
      </c>
      <c r="C142" s="2" t="str">
        <f>IFERROR(__xludf.DUMMYFUNCTION("""COMPUTED_VALUE"""),"LAG 84")</f>
        <v>LAG 84</v>
      </c>
      <c r="D142" s="2">
        <f>IFERROR(__xludf.DUMMYFUNCTION("""COMPUTED_VALUE"""),17.0)</f>
        <v>17</v>
      </c>
      <c r="E142" s="2" t="str">
        <f>IFERROR(__xludf.DUMMYFUNCTION("""COMPUTED_VALUE"""),"Herrelag")</f>
        <v>Herrelag</v>
      </c>
    </row>
    <row r="143" ht="15.75" customHeight="1">
      <c r="A143" s="18">
        <f>IFERROR(__xludf.DUMMYFUNCTION("""COMPUTED_VALUE"""),45857.49728591435)</f>
        <v>45857.49729</v>
      </c>
      <c r="B143" s="2" t="str">
        <f>IFERROR(__xludf.DUMMYFUNCTION("""COMPUTED_VALUE"""),"Post 4")</f>
        <v>Post 4</v>
      </c>
      <c r="C143" s="2" t="str">
        <f>IFERROR(__xludf.DUMMYFUNCTION("""COMPUTED_VALUE"""),"LAG 39")</f>
        <v>LAG 39</v>
      </c>
      <c r="D143" s="2">
        <f>IFERROR(__xludf.DUMMYFUNCTION("""COMPUTED_VALUE"""),15.0)</f>
        <v>15</v>
      </c>
      <c r="E143" s="2" t="str">
        <f>IFERROR(__xludf.DUMMYFUNCTION("""COMPUTED_VALUE"""),"Herrelag")</f>
        <v>Herrelag</v>
      </c>
    </row>
    <row r="144" ht="15.75" customHeight="1">
      <c r="A144" s="18">
        <f>IFERROR(__xludf.DUMMYFUNCTION("""COMPUTED_VALUE"""),45857.49766792824)</f>
        <v>45857.49767</v>
      </c>
      <c r="B144" s="2" t="str">
        <f>IFERROR(__xludf.DUMMYFUNCTION("""COMPUTED_VALUE"""),"Post 12")</f>
        <v>Post 12</v>
      </c>
      <c r="C144" s="2" t="str">
        <f>IFERROR(__xludf.DUMMYFUNCTION("""COMPUTED_VALUE"""),"LAG 66")</f>
        <v>LAG 66</v>
      </c>
      <c r="D144" s="2">
        <f>IFERROR(__xludf.DUMMYFUNCTION("""COMPUTED_VALUE"""),14.0)</f>
        <v>14</v>
      </c>
      <c r="E144" s="2" t="str">
        <f>IFERROR(__xludf.DUMMYFUNCTION("""COMPUTED_VALUE"""),"Damelag")</f>
        <v>Damelag</v>
      </c>
    </row>
    <row r="145" ht="15.75" customHeight="1">
      <c r="A145" s="18">
        <f>IFERROR(__xludf.DUMMYFUNCTION("""COMPUTED_VALUE"""),45857.498266759256)</f>
        <v>45857.49827</v>
      </c>
      <c r="B145" s="2" t="str">
        <f>IFERROR(__xludf.DUMMYFUNCTION("""COMPUTED_VALUE"""),"Post 12")</f>
        <v>Post 12</v>
      </c>
      <c r="C145" s="2" t="str">
        <f>IFERROR(__xludf.DUMMYFUNCTION("""COMPUTED_VALUE"""),"LAG 12")</f>
        <v>LAG 12</v>
      </c>
      <c r="D145" s="2">
        <f>IFERROR(__xludf.DUMMYFUNCTION("""COMPUTED_VALUE"""),13.0)</f>
        <v>13</v>
      </c>
      <c r="E145" s="2" t="str">
        <f>IFERROR(__xludf.DUMMYFUNCTION("""COMPUTED_VALUE"""),"Mixlag")</f>
        <v>Mixlag</v>
      </c>
    </row>
    <row r="146" ht="15.75" customHeight="1">
      <c r="A146" s="18">
        <f>IFERROR(__xludf.DUMMYFUNCTION("""COMPUTED_VALUE"""),45857.49828059028)</f>
        <v>45857.49828</v>
      </c>
      <c r="B146" s="2" t="str">
        <f>IFERROR(__xludf.DUMMYFUNCTION("""COMPUTED_VALUE"""),"Post 8")</f>
        <v>Post 8</v>
      </c>
      <c r="C146" s="2" t="str">
        <f>IFERROR(__xludf.DUMMYFUNCTION("""COMPUTED_VALUE"""),"LAG 48")</f>
        <v>LAG 48</v>
      </c>
      <c r="D146" s="2">
        <f>IFERROR(__xludf.DUMMYFUNCTION("""COMPUTED_VALUE"""),10.0)</f>
        <v>10</v>
      </c>
      <c r="E146" s="2" t="str">
        <f>IFERROR(__xludf.DUMMYFUNCTION("""COMPUTED_VALUE"""),"Damelag")</f>
        <v>Damelag</v>
      </c>
    </row>
    <row r="147" ht="15.75" customHeight="1">
      <c r="A147" s="18">
        <f>IFERROR(__xludf.DUMMYFUNCTION("""COMPUTED_VALUE"""),45857.49846195602)</f>
        <v>45857.49846</v>
      </c>
      <c r="B147" s="2" t="str">
        <f>IFERROR(__xludf.DUMMYFUNCTION("""COMPUTED_VALUE"""),"Post 9")</f>
        <v>Post 9</v>
      </c>
      <c r="C147" s="2" t="str">
        <f>IFERROR(__xludf.DUMMYFUNCTION("""COMPUTED_VALUE"""),"LAG 74")</f>
        <v>LAG 74</v>
      </c>
      <c r="D147" s="2">
        <f>IFERROR(__xludf.DUMMYFUNCTION("""COMPUTED_VALUE"""),24.0)</f>
        <v>24</v>
      </c>
      <c r="E147" s="2" t="str">
        <f>IFERROR(__xludf.DUMMYFUNCTION("""COMPUTED_VALUE"""),"Damelag")</f>
        <v>Damelag</v>
      </c>
    </row>
    <row r="148" ht="15.75" customHeight="1">
      <c r="A148" s="18">
        <f>IFERROR(__xludf.DUMMYFUNCTION("""COMPUTED_VALUE"""),45857.498522442125)</f>
        <v>45857.49852</v>
      </c>
      <c r="B148" s="2" t="str">
        <f>IFERROR(__xludf.DUMMYFUNCTION("""COMPUTED_VALUE"""),"Post 4")</f>
        <v>Post 4</v>
      </c>
      <c r="C148" s="2" t="str">
        <f>IFERROR(__xludf.DUMMYFUNCTION("""COMPUTED_VALUE"""),"LAG 32")</f>
        <v>LAG 32</v>
      </c>
      <c r="D148" s="2">
        <f>IFERROR(__xludf.DUMMYFUNCTION("""COMPUTED_VALUE"""),10.0)</f>
        <v>10</v>
      </c>
      <c r="E148" s="2" t="str">
        <f>IFERROR(__xludf.DUMMYFUNCTION("""COMPUTED_VALUE"""),"Damelag")</f>
        <v>Damelag</v>
      </c>
    </row>
    <row r="149" ht="15.75" customHeight="1">
      <c r="A149" s="18">
        <f>IFERROR(__xludf.DUMMYFUNCTION("""COMPUTED_VALUE"""),45857.49890237268)</f>
        <v>45857.4989</v>
      </c>
      <c r="B149" s="2" t="str">
        <f>IFERROR(__xludf.DUMMYFUNCTION("""COMPUTED_VALUE"""),"Post 15")</f>
        <v>Post 15</v>
      </c>
      <c r="C149" s="2" t="str">
        <f>IFERROR(__xludf.DUMMYFUNCTION("""COMPUTED_VALUE"""),"LAG 2")</f>
        <v>LAG 2</v>
      </c>
      <c r="D149" s="2">
        <f>IFERROR(__xludf.DUMMYFUNCTION("""COMPUTED_VALUE"""),15.0)</f>
        <v>15</v>
      </c>
      <c r="E149" s="2" t="str">
        <f>IFERROR(__xludf.DUMMYFUNCTION("""COMPUTED_VALUE"""),"Damelag")</f>
        <v>Damelag</v>
      </c>
    </row>
    <row r="150" ht="15.75" customHeight="1">
      <c r="A150" s="18">
        <f>IFERROR(__xludf.DUMMYFUNCTION("""COMPUTED_VALUE"""),45857.50059648148)</f>
        <v>45857.5006</v>
      </c>
      <c r="B150" s="2" t="str">
        <f>IFERROR(__xludf.DUMMYFUNCTION("""COMPUTED_VALUE"""),"Post 2")</f>
        <v>Post 2</v>
      </c>
      <c r="C150" s="2" t="str">
        <f>IFERROR(__xludf.DUMMYFUNCTION("""COMPUTED_VALUE"""),"LAG 74")</f>
        <v>LAG 74</v>
      </c>
      <c r="D150" s="2">
        <f>IFERROR(__xludf.DUMMYFUNCTION("""COMPUTED_VALUE"""),15.0)</f>
        <v>15</v>
      </c>
      <c r="E150" s="2" t="str">
        <f>IFERROR(__xludf.DUMMYFUNCTION("""COMPUTED_VALUE"""),"Damelag")</f>
        <v>Damelag</v>
      </c>
    </row>
    <row r="151" ht="15.75" customHeight="1">
      <c r="A151" s="18">
        <f>IFERROR(__xludf.DUMMYFUNCTION("""COMPUTED_VALUE"""),45857.500743136574)</f>
        <v>45857.50074</v>
      </c>
      <c r="B151" s="2" t="str">
        <f>IFERROR(__xludf.DUMMYFUNCTION("""COMPUTED_VALUE"""),"Post 18")</f>
        <v>Post 18</v>
      </c>
      <c r="C151" s="2" t="str">
        <f>IFERROR(__xludf.DUMMYFUNCTION("""COMPUTED_VALUE"""),"LAG 83")</f>
        <v>LAG 83</v>
      </c>
      <c r="D151" s="2">
        <f>IFERROR(__xludf.DUMMYFUNCTION("""COMPUTED_VALUE"""),16.0)</f>
        <v>16</v>
      </c>
      <c r="E151" s="2" t="str">
        <f>IFERROR(__xludf.DUMMYFUNCTION("""COMPUTED_VALUE"""),"Herrelag")</f>
        <v>Herrelag</v>
      </c>
    </row>
    <row r="152" ht="15.75" customHeight="1">
      <c r="A152" s="18">
        <f>IFERROR(__xludf.DUMMYFUNCTION("""COMPUTED_VALUE"""),45857.50170821759)</f>
        <v>45857.50171</v>
      </c>
      <c r="B152" s="2" t="str">
        <f>IFERROR(__xludf.DUMMYFUNCTION("""COMPUTED_VALUE"""),"Post 12")</f>
        <v>Post 12</v>
      </c>
      <c r="C152" s="2" t="str">
        <f>IFERROR(__xludf.DUMMYFUNCTION("""COMPUTED_VALUE"""),"LAG 40")</f>
        <v>LAG 40</v>
      </c>
      <c r="D152" s="2">
        <f>IFERROR(__xludf.DUMMYFUNCTION("""COMPUTED_VALUE"""),13.0)</f>
        <v>13</v>
      </c>
      <c r="E152" s="2" t="str">
        <f>IFERROR(__xludf.DUMMYFUNCTION("""COMPUTED_VALUE"""),"Damelag")</f>
        <v>Damelag</v>
      </c>
    </row>
    <row r="153" ht="15.75" customHeight="1">
      <c r="A153" s="18">
        <f>IFERROR(__xludf.DUMMYFUNCTION("""COMPUTED_VALUE"""),45857.50256291666)</f>
        <v>45857.50256</v>
      </c>
      <c r="B153" s="2" t="str">
        <f>IFERROR(__xludf.DUMMYFUNCTION("""COMPUTED_VALUE"""),"Post 4")</f>
        <v>Post 4</v>
      </c>
      <c r="C153" s="2" t="str">
        <f>IFERROR(__xludf.DUMMYFUNCTION("""COMPUTED_VALUE"""),"LAG 5")</f>
        <v>LAG 5</v>
      </c>
      <c r="D153" s="2">
        <f>IFERROR(__xludf.DUMMYFUNCTION("""COMPUTED_VALUE"""),15.0)</f>
        <v>15</v>
      </c>
      <c r="E153" s="2" t="str">
        <f>IFERROR(__xludf.DUMMYFUNCTION("""COMPUTED_VALUE"""),"Mixlag")</f>
        <v>Mixlag</v>
      </c>
    </row>
    <row r="154" ht="15.75" customHeight="1">
      <c r="A154" s="18">
        <f>IFERROR(__xludf.DUMMYFUNCTION("""COMPUTED_VALUE"""),45857.5026587037)</f>
        <v>45857.50266</v>
      </c>
      <c r="B154" s="2" t="str">
        <f>IFERROR(__xludf.DUMMYFUNCTION("""COMPUTED_VALUE"""),"Post 8")</f>
        <v>Post 8</v>
      </c>
      <c r="C154" s="2" t="str">
        <f>IFERROR(__xludf.DUMMYFUNCTION("""COMPUTED_VALUE"""),"LAG 22")</f>
        <v>LAG 22</v>
      </c>
      <c r="D154" s="2">
        <f>IFERROR(__xludf.DUMMYFUNCTION("""COMPUTED_VALUE"""),12.0)</f>
        <v>12</v>
      </c>
      <c r="E154" s="2" t="str">
        <f>IFERROR(__xludf.DUMMYFUNCTION("""COMPUTED_VALUE"""),"Damelag")</f>
        <v>Damelag</v>
      </c>
    </row>
    <row r="155" ht="15.75" customHeight="1">
      <c r="A155" s="18">
        <f>IFERROR(__xludf.DUMMYFUNCTION("""COMPUTED_VALUE"""),45857.5028656713)</f>
        <v>45857.50287</v>
      </c>
      <c r="B155" s="2" t="str">
        <f>IFERROR(__xludf.DUMMYFUNCTION("""COMPUTED_VALUE"""),"Post 5")</f>
        <v>Post 5</v>
      </c>
      <c r="C155" s="2" t="str">
        <f>IFERROR(__xludf.DUMMYFUNCTION("""COMPUTED_VALUE"""),"LAG 82")</f>
        <v>LAG 82</v>
      </c>
      <c r="D155" s="2">
        <f>IFERROR(__xludf.DUMMYFUNCTION("""COMPUTED_VALUE"""),10.0)</f>
        <v>10</v>
      </c>
      <c r="E155" s="2" t="str">
        <f>IFERROR(__xludf.DUMMYFUNCTION("""COMPUTED_VALUE"""),"Mixlag")</f>
        <v>Mixlag</v>
      </c>
    </row>
    <row r="156" ht="15.75" customHeight="1">
      <c r="A156" s="18">
        <f>IFERROR(__xludf.DUMMYFUNCTION("""COMPUTED_VALUE"""),45857.50293423611)</f>
        <v>45857.50293</v>
      </c>
      <c r="B156" s="2" t="str">
        <f>IFERROR(__xludf.DUMMYFUNCTION("""COMPUTED_VALUE"""),"Post 9")</f>
        <v>Post 9</v>
      </c>
      <c r="C156" s="2" t="str">
        <f>IFERROR(__xludf.DUMMYFUNCTION("""COMPUTED_VALUE"""),"LAG 80")</f>
        <v>LAG 80</v>
      </c>
      <c r="D156" s="2">
        <f>IFERROR(__xludf.DUMMYFUNCTION("""COMPUTED_VALUE"""),26.0)</f>
        <v>26</v>
      </c>
      <c r="E156" s="2" t="str">
        <f>IFERROR(__xludf.DUMMYFUNCTION("""COMPUTED_VALUE"""),"Herrelag")</f>
        <v>Herrelag</v>
      </c>
    </row>
    <row r="157" ht="15.75" customHeight="1">
      <c r="A157" s="18">
        <f>IFERROR(__xludf.DUMMYFUNCTION("""COMPUTED_VALUE"""),45857.503565983796)</f>
        <v>45857.50357</v>
      </c>
      <c r="B157" s="2" t="str">
        <f>IFERROR(__xludf.DUMMYFUNCTION("""COMPUTED_VALUE"""),"Post 10")</f>
        <v>Post 10</v>
      </c>
      <c r="C157" s="2" t="str">
        <f>IFERROR(__xludf.DUMMYFUNCTION("""COMPUTED_VALUE"""),"LAG 19")</f>
        <v>LAG 19</v>
      </c>
      <c r="D157" s="2">
        <f>IFERROR(__xludf.DUMMYFUNCTION("""COMPUTED_VALUE"""),15.0)</f>
        <v>15</v>
      </c>
      <c r="E157" s="2" t="str">
        <f>IFERROR(__xludf.DUMMYFUNCTION("""COMPUTED_VALUE"""),"Herrelag")</f>
        <v>Herrelag</v>
      </c>
    </row>
    <row r="158" ht="15.75" customHeight="1">
      <c r="A158" s="18">
        <f>IFERROR(__xludf.DUMMYFUNCTION("""COMPUTED_VALUE"""),45857.50385079861)</f>
        <v>45857.50385</v>
      </c>
      <c r="B158" s="2" t="str">
        <f>IFERROR(__xludf.DUMMYFUNCTION("""COMPUTED_VALUE"""),"Post 6")</f>
        <v>Post 6</v>
      </c>
      <c r="C158" s="2" t="str">
        <f>IFERROR(__xludf.DUMMYFUNCTION("""COMPUTED_VALUE"""),"LAG 83")</f>
        <v>LAG 83</v>
      </c>
      <c r="D158" s="2">
        <f>IFERROR(__xludf.DUMMYFUNCTION("""COMPUTED_VALUE"""),16.0)</f>
        <v>16</v>
      </c>
      <c r="E158" s="2" t="str">
        <f>IFERROR(__xludf.DUMMYFUNCTION("""COMPUTED_VALUE"""),"Herrelag")</f>
        <v>Herrelag</v>
      </c>
    </row>
    <row r="159" ht="15.75" customHeight="1">
      <c r="A159" s="18">
        <f>IFERROR(__xludf.DUMMYFUNCTION("""COMPUTED_VALUE"""),45857.50385746528)</f>
        <v>45857.50386</v>
      </c>
      <c r="B159" s="2" t="str">
        <f>IFERROR(__xludf.DUMMYFUNCTION("""COMPUTED_VALUE"""),"Post 12")</f>
        <v>Post 12</v>
      </c>
      <c r="C159" s="2" t="str">
        <f>IFERROR(__xludf.DUMMYFUNCTION("""COMPUTED_VALUE"""),"LAG 39")</f>
        <v>LAG 39</v>
      </c>
      <c r="D159" s="2">
        <f>IFERROR(__xludf.DUMMYFUNCTION("""COMPUTED_VALUE"""),13.0)</f>
        <v>13</v>
      </c>
      <c r="E159" s="2" t="str">
        <f>IFERROR(__xludf.DUMMYFUNCTION("""COMPUTED_VALUE"""),"Herrelag")</f>
        <v>Herrelag</v>
      </c>
    </row>
    <row r="160" ht="15.75" customHeight="1">
      <c r="A160" s="18">
        <f>IFERROR(__xludf.DUMMYFUNCTION("""COMPUTED_VALUE"""),45857.50422293981)</f>
        <v>45857.50422</v>
      </c>
      <c r="B160" s="2" t="str">
        <f>IFERROR(__xludf.DUMMYFUNCTION("""COMPUTED_VALUE"""),"Post 4")</f>
        <v>Post 4</v>
      </c>
      <c r="C160" s="2" t="str">
        <f>IFERROR(__xludf.DUMMYFUNCTION("""COMPUTED_VALUE"""),"LAG 82")</f>
        <v>LAG 82</v>
      </c>
      <c r="D160" s="2">
        <f>IFERROR(__xludf.DUMMYFUNCTION("""COMPUTED_VALUE"""),15.0)</f>
        <v>15</v>
      </c>
      <c r="E160" s="2" t="str">
        <f>IFERROR(__xludf.DUMMYFUNCTION("""COMPUTED_VALUE"""),"Mixlag")</f>
        <v>Mixlag</v>
      </c>
    </row>
    <row r="161" ht="15.75" customHeight="1">
      <c r="A161" s="18">
        <f>IFERROR(__xludf.DUMMYFUNCTION("""COMPUTED_VALUE"""),45857.50485244213)</f>
        <v>45857.50485</v>
      </c>
      <c r="B161" s="2" t="str">
        <f>IFERROR(__xludf.DUMMYFUNCTION("""COMPUTED_VALUE"""),"Post 18")</f>
        <v>Post 18</v>
      </c>
      <c r="C161" s="2" t="str">
        <f>IFERROR(__xludf.DUMMYFUNCTION("""COMPUTED_VALUE"""),"LAG 5")</f>
        <v>LAG 5</v>
      </c>
      <c r="D161" s="2">
        <f>IFERROR(__xludf.DUMMYFUNCTION("""COMPUTED_VALUE"""),11.0)</f>
        <v>11</v>
      </c>
      <c r="E161" s="2" t="str">
        <f>IFERROR(__xludf.DUMMYFUNCTION("""COMPUTED_VALUE"""),"Mixlag")</f>
        <v>Mixlag</v>
      </c>
    </row>
    <row r="162" ht="15.75" customHeight="1">
      <c r="A162" s="18">
        <f>IFERROR(__xludf.DUMMYFUNCTION("""COMPUTED_VALUE"""),45857.50493398149)</f>
        <v>45857.50493</v>
      </c>
      <c r="B162" s="2" t="str">
        <f>IFERROR(__xludf.DUMMYFUNCTION("""COMPUTED_VALUE"""),"Post 12")</f>
        <v>Post 12</v>
      </c>
      <c r="C162" s="2" t="str">
        <f>IFERROR(__xludf.DUMMYFUNCTION("""COMPUTED_VALUE"""),"LAG 79")</f>
        <v>LAG 79</v>
      </c>
      <c r="D162" s="2">
        <f>IFERROR(__xludf.DUMMYFUNCTION("""COMPUTED_VALUE"""),9.0)</f>
        <v>9</v>
      </c>
      <c r="E162" s="2" t="str">
        <f>IFERROR(__xludf.DUMMYFUNCTION("""COMPUTED_VALUE"""),"Herrelag")</f>
        <v>Herrelag</v>
      </c>
    </row>
    <row r="163" ht="15.75" customHeight="1">
      <c r="A163" s="18">
        <f>IFERROR(__xludf.DUMMYFUNCTION("""COMPUTED_VALUE"""),45857.50516854167)</f>
        <v>45857.50517</v>
      </c>
      <c r="B163" s="2" t="str">
        <f>IFERROR(__xludf.DUMMYFUNCTION("""COMPUTED_VALUE"""),"Post 8")</f>
        <v>Post 8</v>
      </c>
      <c r="C163" s="2" t="str">
        <f>IFERROR(__xludf.DUMMYFUNCTION("""COMPUTED_VALUE"""),"LAG 3")</f>
        <v>LAG 3</v>
      </c>
      <c r="D163" s="2">
        <f>IFERROR(__xludf.DUMMYFUNCTION("""COMPUTED_VALUE"""),8.0)</f>
        <v>8</v>
      </c>
      <c r="E163" s="2" t="str">
        <f>IFERROR(__xludf.DUMMYFUNCTION("""COMPUTED_VALUE"""),"Damelag")</f>
        <v>Damelag</v>
      </c>
    </row>
    <row r="164" ht="15.75" customHeight="1">
      <c r="A164" s="18">
        <f>IFERROR(__xludf.DUMMYFUNCTION("""COMPUTED_VALUE"""),45857.50573449074)</f>
        <v>45857.50573</v>
      </c>
      <c r="B164" s="2" t="str">
        <f>IFERROR(__xludf.DUMMYFUNCTION("""COMPUTED_VALUE"""),"Post 4")</f>
        <v>Post 4</v>
      </c>
      <c r="C164" s="2" t="str">
        <f>IFERROR(__xludf.DUMMYFUNCTION("""COMPUTED_VALUE"""),"LAG 51")</f>
        <v>LAG 51</v>
      </c>
      <c r="D164" s="2">
        <f>IFERROR(__xludf.DUMMYFUNCTION("""COMPUTED_VALUE"""),15.0)</f>
        <v>15</v>
      </c>
      <c r="E164" s="2" t="str">
        <f>IFERROR(__xludf.DUMMYFUNCTION("""COMPUTED_VALUE"""),"Mixlag")</f>
        <v>Mixlag</v>
      </c>
    </row>
    <row r="165" ht="15.75" customHeight="1">
      <c r="A165" s="18">
        <f>IFERROR(__xludf.DUMMYFUNCTION("""COMPUTED_VALUE"""),45857.506058530096)</f>
        <v>45857.50606</v>
      </c>
      <c r="B165" s="2" t="str">
        <f>IFERROR(__xludf.DUMMYFUNCTION("""COMPUTED_VALUE"""),"Post 10")</f>
        <v>Post 10</v>
      </c>
      <c r="C165" s="2" t="str">
        <f>IFERROR(__xludf.DUMMYFUNCTION("""COMPUTED_VALUE"""),"LAG 77")</f>
        <v>LAG 77</v>
      </c>
      <c r="D165" s="2">
        <f>IFERROR(__xludf.DUMMYFUNCTION("""COMPUTED_VALUE"""),14.0)</f>
        <v>14</v>
      </c>
      <c r="E165" s="2" t="str">
        <f>IFERROR(__xludf.DUMMYFUNCTION("""COMPUTED_VALUE"""),"Mixlag")</f>
        <v>Mixlag</v>
      </c>
    </row>
    <row r="166" ht="15.75" customHeight="1">
      <c r="A166" s="18">
        <f>IFERROR(__xludf.DUMMYFUNCTION("""COMPUTED_VALUE"""),45857.50671350694)</f>
        <v>45857.50671</v>
      </c>
      <c r="B166" s="2" t="str">
        <f>IFERROR(__xludf.DUMMYFUNCTION("""COMPUTED_VALUE"""),"Post 20")</f>
        <v>Post 20</v>
      </c>
      <c r="C166" s="2" t="str">
        <f>IFERROR(__xludf.DUMMYFUNCTION("""COMPUTED_VALUE"""),"LAG 17")</f>
        <v>LAG 17</v>
      </c>
      <c r="D166" s="2">
        <f>IFERROR(__xludf.DUMMYFUNCTION("""COMPUTED_VALUE"""),20.0)</f>
        <v>20</v>
      </c>
      <c r="E166" s="2" t="str">
        <f>IFERROR(__xludf.DUMMYFUNCTION("""COMPUTED_VALUE"""),"Damelag")</f>
        <v>Damelag</v>
      </c>
    </row>
    <row r="167" ht="15.75" customHeight="1">
      <c r="A167" s="18">
        <f>IFERROR(__xludf.DUMMYFUNCTION("""COMPUTED_VALUE"""),45857.50748559028)</f>
        <v>45857.50749</v>
      </c>
      <c r="B167" s="2" t="str">
        <f>IFERROR(__xludf.DUMMYFUNCTION("""COMPUTED_VALUE"""),"Post 4")</f>
        <v>Post 4</v>
      </c>
      <c r="C167" s="2" t="str">
        <f>IFERROR(__xludf.DUMMYFUNCTION("""COMPUTED_VALUE"""),"LAG 6")</f>
        <v>LAG 6</v>
      </c>
      <c r="D167" s="2">
        <f>IFERROR(__xludf.DUMMYFUNCTION("""COMPUTED_VALUE"""),15.0)</f>
        <v>15</v>
      </c>
      <c r="E167" s="2" t="str">
        <f>IFERROR(__xludf.DUMMYFUNCTION("""COMPUTED_VALUE"""),"Mixlag")</f>
        <v>Mixlag</v>
      </c>
    </row>
    <row r="168" ht="15.75" customHeight="1">
      <c r="A168" s="18">
        <f>IFERROR(__xludf.DUMMYFUNCTION("""COMPUTED_VALUE"""),45857.5074896875)</f>
        <v>45857.50749</v>
      </c>
      <c r="B168" s="2" t="str">
        <f>IFERROR(__xludf.DUMMYFUNCTION("""COMPUTED_VALUE"""),"Post 20")</f>
        <v>Post 20</v>
      </c>
      <c r="C168" s="2" t="str">
        <f>IFERROR(__xludf.DUMMYFUNCTION("""COMPUTED_VALUE"""),"LAG 34")</f>
        <v>LAG 34</v>
      </c>
      <c r="D168" s="2">
        <f>IFERROR(__xludf.DUMMYFUNCTION("""COMPUTED_VALUE"""),20.0)</f>
        <v>20</v>
      </c>
      <c r="E168" s="2" t="str">
        <f>IFERROR(__xludf.DUMMYFUNCTION("""COMPUTED_VALUE"""),"Damelag")</f>
        <v>Damelag</v>
      </c>
    </row>
    <row r="169" ht="15.75" customHeight="1">
      <c r="A169" s="18">
        <f>IFERROR(__xludf.DUMMYFUNCTION("""COMPUTED_VALUE"""),45857.50762157407)</f>
        <v>45857.50762</v>
      </c>
      <c r="B169" s="2" t="str">
        <f>IFERROR(__xludf.DUMMYFUNCTION("""COMPUTED_VALUE"""),"Post 6")</f>
        <v>Post 6</v>
      </c>
      <c r="C169" s="2" t="str">
        <f>IFERROR(__xludf.DUMMYFUNCTION("""COMPUTED_VALUE"""),"LAG 5")</f>
        <v>LAG 5</v>
      </c>
      <c r="D169" s="2">
        <f>IFERROR(__xludf.DUMMYFUNCTION("""COMPUTED_VALUE"""),20.0)</f>
        <v>20</v>
      </c>
      <c r="E169" s="2" t="str">
        <f>IFERROR(__xludf.DUMMYFUNCTION("""COMPUTED_VALUE"""),"Mixlag")</f>
        <v>Mixlag</v>
      </c>
    </row>
    <row r="170" ht="15.75" customHeight="1">
      <c r="A170" s="18">
        <f>IFERROR(__xludf.DUMMYFUNCTION("""COMPUTED_VALUE"""),45857.50778321759)</f>
        <v>45857.50778</v>
      </c>
      <c r="B170" s="2" t="str">
        <f>IFERROR(__xludf.DUMMYFUNCTION("""COMPUTED_VALUE"""),"Post 20")</f>
        <v>Post 20</v>
      </c>
      <c r="C170" s="2" t="str">
        <f>IFERROR(__xludf.DUMMYFUNCTION("""COMPUTED_VALUE"""),"LAG 37")</f>
        <v>LAG 37</v>
      </c>
      <c r="D170" s="2">
        <f>IFERROR(__xludf.DUMMYFUNCTION("""COMPUTED_VALUE"""),30.0)</f>
        <v>30</v>
      </c>
      <c r="E170" s="2" t="str">
        <f>IFERROR(__xludf.DUMMYFUNCTION("""COMPUTED_VALUE"""),"Herrelag")</f>
        <v>Herrelag</v>
      </c>
    </row>
    <row r="171" ht="15.75" customHeight="1">
      <c r="A171" s="18">
        <f>IFERROR(__xludf.DUMMYFUNCTION("""COMPUTED_VALUE"""),45857.50782)</f>
        <v>45857.50782</v>
      </c>
      <c r="B171" s="2" t="str">
        <f>IFERROR(__xludf.DUMMYFUNCTION("""COMPUTED_VALUE"""),"Post 8")</f>
        <v>Post 8</v>
      </c>
      <c r="C171" s="2" t="str">
        <f>IFERROR(__xludf.DUMMYFUNCTION("""COMPUTED_VALUE"""),"LAG 19")</f>
        <v>LAG 19</v>
      </c>
      <c r="D171" s="2">
        <f>IFERROR(__xludf.DUMMYFUNCTION("""COMPUTED_VALUE"""),12.0)</f>
        <v>12</v>
      </c>
      <c r="E171" s="2" t="str">
        <f>IFERROR(__xludf.DUMMYFUNCTION("""COMPUTED_VALUE"""),"Herrelag")</f>
        <v>Herrelag</v>
      </c>
    </row>
    <row r="172" ht="15.75" customHeight="1">
      <c r="A172" s="18">
        <f>IFERROR(__xludf.DUMMYFUNCTION("""COMPUTED_VALUE"""),45857.50784438658)</f>
        <v>45857.50784</v>
      </c>
      <c r="B172" s="2" t="str">
        <f>IFERROR(__xludf.DUMMYFUNCTION("""COMPUTED_VALUE"""),"Post 2")</f>
        <v>Post 2</v>
      </c>
      <c r="C172" s="2" t="str">
        <f>IFERROR(__xludf.DUMMYFUNCTION("""COMPUTED_VALUE"""),"LAG 7")</f>
        <v>LAG 7</v>
      </c>
      <c r="D172" s="2">
        <f>IFERROR(__xludf.DUMMYFUNCTION("""COMPUTED_VALUE"""),15.0)</f>
        <v>15</v>
      </c>
      <c r="E172" s="2" t="str">
        <f>IFERROR(__xludf.DUMMYFUNCTION("""COMPUTED_VALUE"""),"Mixlag")</f>
        <v>Mixlag</v>
      </c>
    </row>
    <row r="173" ht="15.75" customHeight="1">
      <c r="A173" s="18">
        <f>IFERROR(__xludf.DUMMYFUNCTION("""COMPUTED_VALUE"""),45857.508001979164)</f>
        <v>45857.508</v>
      </c>
      <c r="B173" s="2" t="str">
        <f>IFERROR(__xludf.DUMMYFUNCTION("""COMPUTED_VALUE"""),"Post 12")</f>
        <v>Post 12</v>
      </c>
      <c r="C173" s="2" t="str">
        <f>IFERROR(__xludf.DUMMYFUNCTION("""COMPUTED_VALUE"""),"LAG 32")</f>
        <v>LAG 32</v>
      </c>
      <c r="D173" s="2">
        <f>IFERROR(__xludf.DUMMYFUNCTION("""COMPUTED_VALUE"""),16.0)</f>
        <v>16</v>
      </c>
      <c r="E173" s="2" t="str">
        <f>IFERROR(__xludf.DUMMYFUNCTION("""COMPUTED_VALUE"""),"Damelag")</f>
        <v>Damelag</v>
      </c>
    </row>
    <row r="174" ht="15.75" customHeight="1">
      <c r="A174" s="18">
        <f>IFERROR(__xludf.DUMMYFUNCTION("""COMPUTED_VALUE"""),45857.50815797454)</f>
        <v>45857.50816</v>
      </c>
      <c r="B174" s="2" t="str">
        <f>IFERROR(__xludf.DUMMYFUNCTION("""COMPUTED_VALUE"""),"Post 20")</f>
        <v>Post 20</v>
      </c>
      <c r="C174" s="2" t="str">
        <f>IFERROR(__xludf.DUMMYFUNCTION("""COMPUTED_VALUE"""),"LAG 39")</f>
        <v>LAG 39</v>
      </c>
      <c r="D174" s="2">
        <f>IFERROR(__xludf.DUMMYFUNCTION("""COMPUTED_VALUE"""),20.0)</f>
        <v>20</v>
      </c>
      <c r="E174" s="2" t="str">
        <f>IFERROR(__xludf.DUMMYFUNCTION("""COMPUTED_VALUE"""),"Herrelag")</f>
        <v>Herrelag</v>
      </c>
    </row>
    <row r="175" ht="15.75" customHeight="1">
      <c r="A175" s="18">
        <f>IFERROR(__xludf.DUMMYFUNCTION("""COMPUTED_VALUE"""),45857.50851546296)</f>
        <v>45857.50852</v>
      </c>
      <c r="B175" s="2" t="str">
        <f>IFERROR(__xludf.DUMMYFUNCTION("""COMPUTED_VALUE"""),"Post 20")</f>
        <v>Post 20</v>
      </c>
      <c r="C175" s="2" t="str">
        <f>IFERROR(__xludf.DUMMYFUNCTION("""COMPUTED_VALUE"""),"LAG 40")</f>
        <v>LAG 40</v>
      </c>
      <c r="D175" s="2">
        <f>IFERROR(__xludf.DUMMYFUNCTION("""COMPUTED_VALUE"""),20.0)</f>
        <v>20</v>
      </c>
      <c r="E175" s="2" t="str">
        <f>IFERROR(__xludf.DUMMYFUNCTION("""COMPUTED_VALUE"""),"Damelag")</f>
        <v>Damelag</v>
      </c>
    </row>
    <row r="176" ht="15.75" customHeight="1">
      <c r="A176" s="18">
        <f>IFERROR(__xludf.DUMMYFUNCTION("""COMPUTED_VALUE"""),45857.50852456018)</f>
        <v>45857.50852</v>
      </c>
      <c r="B176" s="2" t="str">
        <f>IFERROR(__xludf.DUMMYFUNCTION("""COMPUTED_VALUE"""),"Post 10")</f>
        <v>Post 10</v>
      </c>
      <c r="C176" s="2" t="str">
        <f>IFERROR(__xludf.DUMMYFUNCTION("""COMPUTED_VALUE"""),"LAG 48")</f>
        <v>LAG 48</v>
      </c>
      <c r="D176" s="2">
        <f>IFERROR(__xludf.DUMMYFUNCTION("""COMPUTED_VALUE"""),15.0)</f>
        <v>15</v>
      </c>
      <c r="E176" s="2" t="str">
        <f>IFERROR(__xludf.DUMMYFUNCTION("""COMPUTED_VALUE"""),"Damelag")</f>
        <v>Damelag</v>
      </c>
    </row>
    <row r="177" ht="15.75" customHeight="1">
      <c r="A177" s="18">
        <f>IFERROR(__xludf.DUMMYFUNCTION("""COMPUTED_VALUE"""),45857.50880505787)</f>
        <v>45857.50881</v>
      </c>
      <c r="B177" s="2" t="str">
        <f>IFERROR(__xludf.DUMMYFUNCTION("""COMPUTED_VALUE"""),"Post 12")</f>
        <v>Post 12</v>
      </c>
      <c r="C177" s="2" t="str">
        <f>IFERROR(__xludf.DUMMYFUNCTION("""COMPUTED_VALUE"""),"LAG 83")</f>
        <v>LAG 83</v>
      </c>
      <c r="D177" s="2">
        <f>IFERROR(__xludf.DUMMYFUNCTION("""COMPUTED_VALUE"""),17.0)</f>
        <v>17</v>
      </c>
      <c r="E177" s="2" t="str">
        <f>IFERROR(__xludf.DUMMYFUNCTION("""COMPUTED_VALUE"""),"Herrelag")</f>
        <v>Herrelag</v>
      </c>
    </row>
    <row r="178" ht="15.75" customHeight="1">
      <c r="A178" s="18">
        <f>IFERROR(__xludf.DUMMYFUNCTION("""COMPUTED_VALUE"""),45857.50887952546)</f>
        <v>45857.50888</v>
      </c>
      <c r="B178" s="2" t="str">
        <f>IFERROR(__xludf.DUMMYFUNCTION("""COMPUTED_VALUE"""),"Post 20")</f>
        <v>Post 20</v>
      </c>
      <c r="C178" s="2" t="str">
        <f>IFERROR(__xludf.DUMMYFUNCTION("""COMPUTED_VALUE"""),"LAG 53")</f>
        <v>LAG 53</v>
      </c>
      <c r="D178" s="2">
        <f>IFERROR(__xludf.DUMMYFUNCTION("""COMPUTED_VALUE"""),20.0)</f>
        <v>20</v>
      </c>
      <c r="E178" s="2" t="str">
        <f>IFERROR(__xludf.DUMMYFUNCTION("""COMPUTED_VALUE"""),"Damelag")</f>
        <v>Damelag</v>
      </c>
    </row>
    <row r="179" ht="15.75" customHeight="1">
      <c r="A179" s="18">
        <f>IFERROR(__xludf.DUMMYFUNCTION("""COMPUTED_VALUE"""),45857.50921351852)</f>
        <v>45857.50921</v>
      </c>
      <c r="B179" s="2" t="str">
        <f>IFERROR(__xludf.DUMMYFUNCTION("""COMPUTED_VALUE"""),"Post 20")</f>
        <v>Post 20</v>
      </c>
      <c r="C179" s="2" t="str">
        <f>IFERROR(__xludf.DUMMYFUNCTION("""COMPUTED_VALUE"""),"LAG 59")</f>
        <v>LAG 59</v>
      </c>
      <c r="D179" s="2">
        <f>IFERROR(__xludf.DUMMYFUNCTION("""COMPUTED_VALUE"""),20.0)</f>
        <v>20</v>
      </c>
      <c r="E179" s="2" t="str">
        <f>IFERROR(__xludf.DUMMYFUNCTION("""COMPUTED_VALUE"""),"Damelag")</f>
        <v>Damelag</v>
      </c>
    </row>
    <row r="180" ht="15.75" customHeight="1">
      <c r="A180" s="18">
        <f>IFERROR(__xludf.DUMMYFUNCTION("""COMPUTED_VALUE"""),45857.50923224537)</f>
        <v>45857.50923</v>
      </c>
      <c r="B180" s="2" t="str">
        <f>IFERROR(__xludf.DUMMYFUNCTION("""COMPUTED_VALUE"""),"Post 15")</f>
        <v>Post 15</v>
      </c>
      <c r="C180" s="2" t="str">
        <f>IFERROR(__xludf.DUMMYFUNCTION("""COMPUTED_VALUE"""),"LAG 53")</f>
        <v>LAG 53</v>
      </c>
      <c r="D180" s="2">
        <f>IFERROR(__xludf.DUMMYFUNCTION("""COMPUTED_VALUE"""),5.0)</f>
        <v>5</v>
      </c>
      <c r="E180" s="2" t="str">
        <f>IFERROR(__xludf.DUMMYFUNCTION("""COMPUTED_VALUE"""),"Damelag")</f>
        <v>Damelag</v>
      </c>
    </row>
    <row r="181" ht="15.75" customHeight="1">
      <c r="A181" s="18">
        <f>IFERROR(__xludf.DUMMYFUNCTION("""COMPUTED_VALUE"""),45857.50938346065)</f>
        <v>45857.50938</v>
      </c>
      <c r="B181" s="2" t="str">
        <f>IFERROR(__xludf.DUMMYFUNCTION("""COMPUTED_VALUE"""),"Post 18")</f>
        <v>Post 18</v>
      </c>
      <c r="C181" s="2" t="str">
        <f>IFERROR(__xludf.DUMMYFUNCTION("""COMPUTED_VALUE"""),"LAG 32")</f>
        <v>LAG 32</v>
      </c>
      <c r="D181" s="2">
        <f>IFERROR(__xludf.DUMMYFUNCTION("""COMPUTED_VALUE"""),10.0)</f>
        <v>10</v>
      </c>
      <c r="E181" s="2" t="str">
        <f>IFERROR(__xludf.DUMMYFUNCTION("""COMPUTED_VALUE"""),"Damelag")</f>
        <v>Damelag</v>
      </c>
    </row>
    <row r="182" ht="15.75" customHeight="1">
      <c r="A182" s="18">
        <f>IFERROR(__xludf.DUMMYFUNCTION("""COMPUTED_VALUE"""),45857.509641331024)</f>
        <v>45857.50964</v>
      </c>
      <c r="B182" s="2" t="str">
        <f>IFERROR(__xludf.DUMMYFUNCTION("""COMPUTED_VALUE"""),"Post 4")</f>
        <v>Post 4</v>
      </c>
      <c r="C182" s="2" t="str">
        <f>IFERROR(__xludf.DUMMYFUNCTION("""COMPUTED_VALUE"""),"LAG 71")</f>
        <v>LAG 71</v>
      </c>
      <c r="D182" s="2">
        <f>IFERROR(__xludf.DUMMYFUNCTION("""COMPUTED_VALUE"""),15.0)</f>
        <v>15</v>
      </c>
      <c r="E182" s="2" t="str">
        <f>IFERROR(__xludf.DUMMYFUNCTION("""COMPUTED_VALUE"""),"Mixlag")</f>
        <v>Mixlag</v>
      </c>
    </row>
    <row r="183" ht="15.75" customHeight="1">
      <c r="A183" s="18">
        <f>IFERROR(__xludf.DUMMYFUNCTION("""COMPUTED_VALUE"""),45857.50993291667)</f>
        <v>45857.50993</v>
      </c>
      <c r="B183" s="2" t="str">
        <f>IFERROR(__xludf.DUMMYFUNCTION("""COMPUTED_VALUE"""),"Post 20")</f>
        <v>Post 20</v>
      </c>
      <c r="C183" s="2" t="str">
        <f>IFERROR(__xludf.DUMMYFUNCTION("""COMPUTED_VALUE"""),"LAG 68")</f>
        <v>LAG 68</v>
      </c>
      <c r="D183" s="2">
        <f>IFERROR(__xludf.DUMMYFUNCTION("""COMPUTED_VALUE"""),20.0)</f>
        <v>20</v>
      </c>
      <c r="E183" s="2" t="str">
        <f>IFERROR(__xludf.DUMMYFUNCTION("""COMPUTED_VALUE"""),"Herrelag")</f>
        <v>Herrelag</v>
      </c>
    </row>
    <row r="184" ht="15.75" customHeight="1">
      <c r="A184" s="18">
        <f>IFERROR(__xludf.DUMMYFUNCTION("""COMPUTED_VALUE"""),45857.5100024537)</f>
        <v>45857.51</v>
      </c>
      <c r="B184" s="2" t="str">
        <f>IFERROR(__xludf.DUMMYFUNCTION("""COMPUTED_VALUE"""),"Post 15")</f>
        <v>Post 15</v>
      </c>
      <c r="C184" s="2" t="str">
        <f>IFERROR(__xludf.DUMMYFUNCTION("""COMPUTED_VALUE"""),"LAG 51")</f>
        <v>LAG 51</v>
      </c>
      <c r="D184" s="2">
        <f>IFERROR(__xludf.DUMMYFUNCTION("""COMPUTED_VALUE"""),20.0)</f>
        <v>20</v>
      </c>
      <c r="E184" s="2" t="str">
        <f>IFERROR(__xludf.DUMMYFUNCTION("""COMPUTED_VALUE"""),"Mixlag")</f>
        <v>Mixlag</v>
      </c>
    </row>
    <row r="185" ht="15.75" customHeight="1">
      <c r="A185" s="18">
        <f>IFERROR(__xludf.DUMMYFUNCTION("""COMPUTED_VALUE"""),45857.51007989583)</f>
        <v>45857.51008</v>
      </c>
      <c r="B185" s="2" t="str">
        <f>IFERROR(__xludf.DUMMYFUNCTION("""COMPUTED_VALUE"""),"Post 9")</f>
        <v>Post 9</v>
      </c>
      <c r="C185" s="2" t="str">
        <f>IFERROR(__xludf.DUMMYFUNCTION("""COMPUTED_VALUE"""),"LAG 38")</f>
        <v>LAG 38</v>
      </c>
      <c r="D185" s="2">
        <f>IFERROR(__xludf.DUMMYFUNCTION("""COMPUTED_VALUE"""),22.0)</f>
        <v>22</v>
      </c>
      <c r="E185" s="2" t="str">
        <f>IFERROR(__xludf.DUMMYFUNCTION("""COMPUTED_VALUE"""),"Damelag")</f>
        <v>Damelag</v>
      </c>
    </row>
    <row r="186" ht="15.75" customHeight="1">
      <c r="A186" s="18">
        <f>IFERROR(__xludf.DUMMYFUNCTION("""COMPUTED_VALUE"""),45857.510123078704)</f>
        <v>45857.51012</v>
      </c>
      <c r="B186" s="2" t="str">
        <f>IFERROR(__xludf.DUMMYFUNCTION("""COMPUTED_VALUE"""),"Post 8")</f>
        <v>Post 8</v>
      </c>
      <c r="C186" s="2" t="str">
        <f>IFERROR(__xludf.DUMMYFUNCTION("""COMPUTED_VALUE"""),"LAG 79")</f>
        <v>LAG 79</v>
      </c>
      <c r="D186" s="2">
        <f>IFERROR(__xludf.DUMMYFUNCTION("""COMPUTED_VALUE"""),12.0)</f>
        <v>12</v>
      </c>
      <c r="E186" s="2" t="str">
        <f>IFERROR(__xludf.DUMMYFUNCTION("""COMPUTED_VALUE"""),"Herrelag")</f>
        <v>Herrelag</v>
      </c>
    </row>
    <row r="187" ht="15.75" customHeight="1">
      <c r="A187" s="18">
        <f>IFERROR(__xludf.DUMMYFUNCTION("""COMPUTED_VALUE"""),45857.510230381944)</f>
        <v>45857.51023</v>
      </c>
      <c r="B187" s="2" t="str">
        <f>IFERROR(__xludf.DUMMYFUNCTION("""COMPUTED_VALUE"""),"Post 20")</f>
        <v>Post 20</v>
      </c>
      <c r="C187" s="2" t="str">
        <f>IFERROR(__xludf.DUMMYFUNCTION("""COMPUTED_VALUE"""),"LAG 72")</f>
        <v>LAG 72</v>
      </c>
      <c r="D187" s="2">
        <f>IFERROR(__xludf.DUMMYFUNCTION("""COMPUTED_VALUE"""),20.0)</f>
        <v>20</v>
      </c>
      <c r="E187" s="2" t="str">
        <f>IFERROR(__xludf.DUMMYFUNCTION("""COMPUTED_VALUE"""),"Herrelag")</f>
        <v>Herrelag</v>
      </c>
    </row>
    <row r="188" ht="15.75" customHeight="1">
      <c r="A188" s="18">
        <f>IFERROR(__xludf.DUMMYFUNCTION("""COMPUTED_VALUE"""),45857.51030603009)</f>
        <v>45857.51031</v>
      </c>
      <c r="B188" s="2" t="str">
        <f>IFERROR(__xludf.DUMMYFUNCTION("""COMPUTED_VALUE"""),"Post 15")</f>
        <v>Post 15</v>
      </c>
      <c r="C188" s="2" t="str">
        <f>IFERROR(__xludf.DUMMYFUNCTION("""COMPUTED_VALUE"""),"LAG 72")</f>
        <v>LAG 72</v>
      </c>
      <c r="D188" s="2">
        <f>IFERROR(__xludf.DUMMYFUNCTION("""COMPUTED_VALUE"""),20.0)</f>
        <v>20</v>
      </c>
      <c r="E188" s="2" t="str">
        <f>IFERROR(__xludf.DUMMYFUNCTION("""COMPUTED_VALUE"""),"Herrelag")</f>
        <v>Herrelag</v>
      </c>
    </row>
    <row r="189" ht="15.75" customHeight="1">
      <c r="A189" s="18">
        <f>IFERROR(__xludf.DUMMYFUNCTION("""COMPUTED_VALUE"""),45857.510855243054)</f>
        <v>45857.51086</v>
      </c>
      <c r="B189" s="2" t="str">
        <f>IFERROR(__xludf.DUMMYFUNCTION("""COMPUTED_VALUE"""),"Post 15")</f>
        <v>Post 15</v>
      </c>
      <c r="C189" s="2" t="str">
        <f>IFERROR(__xludf.DUMMYFUNCTION("""COMPUTED_VALUE"""),"LAG 39")</f>
        <v>LAG 39</v>
      </c>
      <c r="D189" s="2">
        <f>IFERROR(__xludf.DUMMYFUNCTION("""COMPUTED_VALUE"""),15.0)</f>
        <v>15</v>
      </c>
      <c r="E189" s="2" t="str">
        <f>IFERROR(__xludf.DUMMYFUNCTION("""COMPUTED_VALUE"""),"Herrelag")</f>
        <v>Herrelag</v>
      </c>
    </row>
    <row r="190" ht="15.75" customHeight="1">
      <c r="A190" s="18">
        <f>IFERROR(__xludf.DUMMYFUNCTION("""COMPUTED_VALUE"""),45857.51091332176)</f>
        <v>45857.51091</v>
      </c>
      <c r="B190" s="2" t="str">
        <f>IFERROR(__xludf.DUMMYFUNCTION("""COMPUTED_VALUE"""),"Post 20")</f>
        <v>Post 20</v>
      </c>
      <c r="C190" s="2" t="str">
        <f>IFERROR(__xludf.DUMMYFUNCTION("""COMPUTED_VALUE"""),"LAG 78")</f>
        <v>LAG 78</v>
      </c>
      <c r="D190" s="2">
        <f>IFERROR(__xludf.DUMMYFUNCTION("""COMPUTED_VALUE"""),20.0)</f>
        <v>20</v>
      </c>
      <c r="E190" s="2" t="str">
        <f>IFERROR(__xludf.DUMMYFUNCTION("""COMPUTED_VALUE"""),"Damelag")</f>
        <v>Damelag</v>
      </c>
    </row>
    <row r="191" ht="15.75" customHeight="1">
      <c r="A191" s="18">
        <f>IFERROR(__xludf.DUMMYFUNCTION("""COMPUTED_VALUE"""),45857.510997743055)</f>
        <v>45857.511</v>
      </c>
      <c r="B191" s="2" t="str">
        <f>IFERROR(__xludf.DUMMYFUNCTION("""COMPUTED_VALUE"""),"Post 2")</f>
        <v>Post 2</v>
      </c>
      <c r="C191" s="2" t="str">
        <f>IFERROR(__xludf.DUMMYFUNCTION("""COMPUTED_VALUE"""),"LAG 11")</f>
        <v>LAG 11</v>
      </c>
      <c r="D191" s="2">
        <f>IFERROR(__xludf.DUMMYFUNCTION("""COMPUTED_VALUE"""),15.0)</f>
        <v>15</v>
      </c>
      <c r="E191" s="2" t="str">
        <f>IFERROR(__xludf.DUMMYFUNCTION("""COMPUTED_VALUE"""),"Damelag")</f>
        <v>Damelag</v>
      </c>
    </row>
    <row r="192" ht="15.75" customHeight="1">
      <c r="A192" s="18">
        <f>IFERROR(__xludf.DUMMYFUNCTION("""COMPUTED_VALUE"""),45857.51160376157)</f>
        <v>45857.5116</v>
      </c>
      <c r="B192" s="2" t="str">
        <f>IFERROR(__xludf.DUMMYFUNCTION("""COMPUTED_VALUE"""),"Post 15")</f>
        <v>Post 15</v>
      </c>
      <c r="C192" s="2" t="str">
        <f>IFERROR(__xludf.DUMMYFUNCTION("""COMPUTED_VALUE"""),"LAG 23")</f>
        <v>LAG 23</v>
      </c>
      <c r="D192" s="2">
        <f>IFERROR(__xludf.DUMMYFUNCTION("""COMPUTED_VALUE"""),20.0)</f>
        <v>20</v>
      </c>
      <c r="E192" s="2" t="str">
        <f>IFERROR(__xludf.DUMMYFUNCTION("""COMPUTED_VALUE"""),"Damelag")</f>
        <v>Damelag</v>
      </c>
    </row>
    <row r="193" ht="15.75" customHeight="1">
      <c r="A193" s="18">
        <f>IFERROR(__xludf.DUMMYFUNCTION("""COMPUTED_VALUE"""),45857.51163166667)</f>
        <v>45857.51163</v>
      </c>
      <c r="B193" s="2" t="str">
        <f>IFERROR(__xludf.DUMMYFUNCTION("""COMPUTED_VALUE"""),"Post 4")</f>
        <v>Post 4</v>
      </c>
      <c r="C193" s="2" t="str">
        <f>IFERROR(__xludf.DUMMYFUNCTION("""COMPUTED_VALUE"""),"LAG 12")</f>
        <v>LAG 12</v>
      </c>
      <c r="D193" s="2">
        <f>IFERROR(__xludf.DUMMYFUNCTION("""COMPUTED_VALUE"""),10.0)</f>
        <v>10</v>
      </c>
      <c r="E193" s="2" t="str">
        <f>IFERROR(__xludf.DUMMYFUNCTION("""COMPUTED_VALUE"""),"Damelag")</f>
        <v>Damelag</v>
      </c>
    </row>
    <row r="194" ht="15.75" customHeight="1">
      <c r="A194" s="18">
        <f>IFERROR(__xludf.DUMMYFUNCTION("""COMPUTED_VALUE"""),45857.511754120365)</f>
        <v>45857.51175</v>
      </c>
      <c r="B194" s="2" t="str">
        <f>IFERROR(__xludf.DUMMYFUNCTION("""COMPUTED_VALUE"""),"Post 20")</f>
        <v>Post 20</v>
      </c>
      <c r="C194" s="2" t="str">
        <f>IFERROR(__xludf.DUMMYFUNCTION("""COMPUTED_VALUE"""),"LAG 83")</f>
        <v>LAG 83</v>
      </c>
      <c r="D194" s="2">
        <f>IFERROR(__xludf.DUMMYFUNCTION("""COMPUTED_VALUE"""),20.0)</f>
        <v>20</v>
      </c>
      <c r="E194" s="2" t="str">
        <f>IFERROR(__xludf.DUMMYFUNCTION("""COMPUTED_VALUE"""),"Herrelag")</f>
        <v>Herrelag</v>
      </c>
    </row>
    <row r="195" ht="15.75" customHeight="1">
      <c r="A195" s="18">
        <f>IFERROR(__xludf.DUMMYFUNCTION("""COMPUTED_VALUE"""),45857.51184010417)</f>
        <v>45857.51184</v>
      </c>
      <c r="B195" s="2" t="str">
        <f>IFERROR(__xludf.DUMMYFUNCTION("""COMPUTED_VALUE"""),"Post 15")</f>
        <v>Post 15</v>
      </c>
      <c r="C195" s="2" t="str">
        <f>IFERROR(__xludf.DUMMYFUNCTION("""COMPUTED_VALUE"""),"LAG 17")</f>
        <v>LAG 17</v>
      </c>
      <c r="D195" s="2">
        <f>IFERROR(__xludf.DUMMYFUNCTION("""COMPUTED_VALUE"""),15.0)</f>
        <v>15</v>
      </c>
      <c r="E195" s="2" t="str">
        <f>IFERROR(__xludf.DUMMYFUNCTION("""COMPUTED_VALUE"""),"Damelag")</f>
        <v>Damelag</v>
      </c>
    </row>
    <row r="196" ht="15.75" customHeight="1">
      <c r="A196" s="18">
        <f>IFERROR(__xludf.DUMMYFUNCTION("""COMPUTED_VALUE"""),45857.51208408565)</f>
        <v>45857.51208</v>
      </c>
      <c r="B196" s="2" t="str">
        <f>IFERROR(__xludf.DUMMYFUNCTION("""COMPUTED_VALUE"""),"Post 20")</f>
        <v>Post 20</v>
      </c>
      <c r="C196" s="2" t="str">
        <f>IFERROR(__xludf.DUMMYFUNCTION("""COMPUTED_VALUE"""),"LAG 84")</f>
        <v>LAG 84</v>
      </c>
      <c r="D196" s="2">
        <f>IFERROR(__xludf.DUMMYFUNCTION("""COMPUTED_VALUE"""),30.0)</f>
        <v>30</v>
      </c>
      <c r="E196" s="2" t="str">
        <f>IFERROR(__xludf.DUMMYFUNCTION("""COMPUTED_VALUE"""),"Herrelag")</f>
        <v>Herrelag</v>
      </c>
    </row>
    <row r="197" ht="15.75" customHeight="1">
      <c r="A197" s="18">
        <f>IFERROR(__xludf.DUMMYFUNCTION("""COMPUTED_VALUE"""),45857.512384120375)</f>
        <v>45857.51238</v>
      </c>
      <c r="B197" s="2" t="str">
        <f>IFERROR(__xludf.DUMMYFUNCTION("""COMPUTED_VALUE"""),"Post 6")</f>
        <v>Post 6</v>
      </c>
      <c r="C197" s="2" t="str">
        <f>IFERROR(__xludf.DUMMYFUNCTION("""COMPUTED_VALUE"""),"LAG 32")</f>
        <v>LAG 32</v>
      </c>
      <c r="D197" s="2">
        <f>IFERROR(__xludf.DUMMYFUNCTION("""COMPUTED_VALUE"""),12.0)</f>
        <v>12</v>
      </c>
      <c r="E197" s="2" t="str">
        <f>IFERROR(__xludf.DUMMYFUNCTION("""COMPUTED_VALUE"""),"Damelag")</f>
        <v>Damelag</v>
      </c>
    </row>
    <row r="198" ht="15.75" customHeight="1">
      <c r="A198" s="18">
        <f>IFERROR(__xludf.DUMMYFUNCTION("""COMPUTED_VALUE"""),45857.51251701389)</f>
        <v>45857.51252</v>
      </c>
      <c r="B198" s="2" t="str">
        <f>IFERROR(__xludf.DUMMYFUNCTION("""COMPUTED_VALUE"""),"Post 20")</f>
        <v>Post 20</v>
      </c>
      <c r="C198" s="2" t="str">
        <f>IFERROR(__xludf.DUMMYFUNCTION("""COMPUTED_VALUE"""),"LAG 2")</f>
        <v>LAG 2</v>
      </c>
      <c r="D198" s="2">
        <f>IFERROR(__xludf.DUMMYFUNCTION("""COMPUTED_VALUE"""),30.0)</f>
        <v>30</v>
      </c>
      <c r="E198" s="2" t="str">
        <f>IFERROR(__xludf.DUMMYFUNCTION("""COMPUTED_VALUE"""),"Damelag")</f>
        <v>Damelag</v>
      </c>
    </row>
    <row r="199" ht="15.75" customHeight="1">
      <c r="A199" s="18">
        <f>IFERROR(__xludf.DUMMYFUNCTION("""COMPUTED_VALUE"""),45857.5125762963)</f>
        <v>45857.51258</v>
      </c>
      <c r="B199" s="2" t="str">
        <f>IFERROR(__xludf.DUMMYFUNCTION("""COMPUTED_VALUE"""),"Post 15")</f>
        <v>Post 15</v>
      </c>
      <c r="C199" s="2" t="str">
        <f>IFERROR(__xludf.DUMMYFUNCTION("""COMPUTED_VALUE"""),"LAG 78")</f>
        <v>LAG 78</v>
      </c>
      <c r="D199" s="2">
        <f>IFERROR(__xludf.DUMMYFUNCTION("""COMPUTED_VALUE"""),5.0)</f>
        <v>5</v>
      </c>
      <c r="E199" s="2" t="str">
        <f>IFERROR(__xludf.DUMMYFUNCTION("""COMPUTED_VALUE"""),"Damelag")</f>
        <v>Damelag</v>
      </c>
    </row>
    <row r="200" ht="15.75" customHeight="1">
      <c r="A200" s="18">
        <f>IFERROR(__xludf.DUMMYFUNCTION("""COMPUTED_VALUE"""),45857.512750243055)</f>
        <v>45857.51275</v>
      </c>
      <c r="B200" s="2" t="str">
        <f>IFERROR(__xludf.DUMMYFUNCTION("""COMPUTED_VALUE"""),"Post 15")</f>
        <v>Post 15</v>
      </c>
      <c r="C200" s="2" t="str">
        <f>IFERROR(__xludf.DUMMYFUNCTION("""COMPUTED_VALUE"""),"LAG 68")</f>
        <v>LAG 68</v>
      </c>
      <c r="D200" s="2">
        <f>IFERROR(__xludf.DUMMYFUNCTION("""COMPUTED_VALUE"""),5.0)</f>
        <v>5</v>
      </c>
      <c r="E200" s="2" t="str">
        <f>IFERROR(__xludf.DUMMYFUNCTION("""COMPUTED_VALUE"""),"Herrelag")</f>
        <v>Herrelag</v>
      </c>
    </row>
    <row r="201" ht="15.75" customHeight="1">
      <c r="A201" s="18">
        <f>IFERROR(__xludf.DUMMYFUNCTION("""COMPUTED_VALUE"""),45857.51357873842)</f>
        <v>45857.51358</v>
      </c>
      <c r="B201" s="2" t="str">
        <f>IFERROR(__xludf.DUMMYFUNCTION("""COMPUTED_VALUE"""),"Post 4")</f>
        <v>Post 4</v>
      </c>
      <c r="C201" s="2" t="str">
        <f>IFERROR(__xludf.DUMMYFUNCTION("""COMPUTED_VALUE"""),"LAG 9")</f>
        <v>LAG 9</v>
      </c>
      <c r="D201" s="2">
        <f>IFERROR(__xludf.DUMMYFUNCTION("""COMPUTED_VALUE"""),10.0)</f>
        <v>10</v>
      </c>
      <c r="E201" s="2" t="str">
        <f>IFERROR(__xludf.DUMMYFUNCTION("""COMPUTED_VALUE"""),"Herrelag")</f>
        <v>Herrelag</v>
      </c>
    </row>
    <row r="202" ht="15.75" customHeight="1">
      <c r="A202" s="18">
        <f>IFERROR(__xludf.DUMMYFUNCTION("""COMPUTED_VALUE"""),45857.51369497685)</f>
        <v>45857.51369</v>
      </c>
      <c r="B202" s="2" t="str">
        <f>IFERROR(__xludf.DUMMYFUNCTION("""COMPUTED_VALUE"""),"Post 9")</f>
        <v>Post 9</v>
      </c>
      <c r="C202" s="2" t="str">
        <f>IFERROR(__xludf.DUMMYFUNCTION("""COMPUTED_VALUE"""),"LAG 55")</f>
        <v>LAG 55</v>
      </c>
      <c r="D202" s="2">
        <f>IFERROR(__xludf.DUMMYFUNCTION("""COMPUTED_VALUE"""),24.0)</f>
        <v>24</v>
      </c>
      <c r="E202" s="2" t="str">
        <f>IFERROR(__xludf.DUMMYFUNCTION("""COMPUTED_VALUE"""),"Damelag")</f>
        <v>Damelag</v>
      </c>
    </row>
    <row r="203" ht="15.75" customHeight="1">
      <c r="A203" s="18">
        <f>IFERROR(__xludf.DUMMYFUNCTION("""COMPUTED_VALUE"""),45857.513843043984)</f>
        <v>45857.51384</v>
      </c>
      <c r="B203" s="2" t="str">
        <f>IFERROR(__xludf.DUMMYFUNCTION("""COMPUTED_VALUE"""),"Post 8")</f>
        <v>Post 8</v>
      </c>
      <c r="C203" s="2" t="str">
        <f>IFERROR(__xludf.DUMMYFUNCTION("""COMPUTED_VALUE"""),"LAG 37")</f>
        <v>LAG 37</v>
      </c>
      <c r="D203" s="2">
        <f>IFERROR(__xludf.DUMMYFUNCTION("""COMPUTED_VALUE"""),13.0)</f>
        <v>13</v>
      </c>
      <c r="E203" s="2" t="str">
        <f>IFERROR(__xludf.DUMMYFUNCTION("""COMPUTED_VALUE"""),"Herrelag")</f>
        <v>Herrelag</v>
      </c>
    </row>
    <row r="204" ht="15.75" customHeight="1">
      <c r="A204" s="18">
        <f>IFERROR(__xludf.DUMMYFUNCTION("""COMPUTED_VALUE"""),45857.514067337965)</f>
        <v>45857.51407</v>
      </c>
      <c r="B204" s="2" t="str">
        <f>IFERROR(__xludf.DUMMYFUNCTION("""COMPUTED_VALUE"""),"Post 12")</f>
        <v>Post 12</v>
      </c>
      <c r="C204" s="2" t="str">
        <f>IFERROR(__xludf.DUMMYFUNCTION("""COMPUTED_VALUE"""),"LAG 51")</f>
        <v>LAG 51</v>
      </c>
      <c r="D204" s="2">
        <f>IFERROR(__xludf.DUMMYFUNCTION("""COMPUTED_VALUE"""),12.0)</f>
        <v>12</v>
      </c>
      <c r="E204" s="2" t="str">
        <f>IFERROR(__xludf.DUMMYFUNCTION("""COMPUTED_VALUE"""),"Mixlag")</f>
        <v>Mixlag</v>
      </c>
    </row>
    <row r="205" ht="15.75" customHeight="1">
      <c r="A205" s="18">
        <f>IFERROR(__xludf.DUMMYFUNCTION("""COMPUTED_VALUE"""),45857.514861828706)</f>
        <v>45857.51486</v>
      </c>
      <c r="B205" s="2" t="str">
        <f>IFERROR(__xludf.DUMMYFUNCTION("""COMPUTED_VALUE"""),"Post 10")</f>
        <v>Post 10</v>
      </c>
      <c r="C205" s="2" t="str">
        <f>IFERROR(__xludf.DUMMYFUNCTION("""COMPUTED_VALUE"""),"LAG 79")</f>
        <v>LAG 79</v>
      </c>
      <c r="D205" s="2">
        <f>IFERROR(__xludf.DUMMYFUNCTION("""COMPUTED_VALUE"""),15.0)</f>
        <v>15</v>
      </c>
      <c r="E205" s="2" t="str">
        <f>IFERROR(__xludf.DUMMYFUNCTION("""COMPUTED_VALUE"""),"Herrelag")</f>
        <v>Herrelag</v>
      </c>
    </row>
    <row r="206" ht="15.75" customHeight="1">
      <c r="A206" s="18">
        <f>IFERROR(__xludf.DUMMYFUNCTION("""COMPUTED_VALUE"""),45857.51517645833)</f>
        <v>45857.51518</v>
      </c>
      <c r="B206" s="2" t="str">
        <f>IFERROR(__xludf.DUMMYFUNCTION("""COMPUTED_VALUE"""),"Post 4")</f>
        <v>Post 4</v>
      </c>
      <c r="C206" s="2" t="str">
        <f>IFERROR(__xludf.DUMMYFUNCTION("""COMPUTED_VALUE"""),"LAG 66")</f>
        <v>LAG 66</v>
      </c>
      <c r="D206" s="2">
        <f>IFERROR(__xludf.DUMMYFUNCTION("""COMPUTED_VALUE"""),10.0)</f>
        <v>10</v>
      </c>
      <c r="E206" s="2" t="str">
        <f>IFERROR(__xludf.DUMMYFUNCTION("""COMPUTED_VALUE"""),"Damelag")</f>
        <v>Damelag</v>
      </c>
    </row>
    <row r="207" ht="15.75" customHeight="1">
      <c r="A207" s="18">
        <f>IFERROR(__xludf.DUMMYFUNCTION("""COMPUTED_VALUE"""),45857.51524552083)</f>
        <v>45857.51525</v>
      </c>
      <c r="B207" s="2" t="str">
        <f>IFERROR(__xludf.DUMMYFUNCTION("""COMPUTED_VALUE"""),"Post 10")</f>
        <v>Post 10</v>
      </c>
      <c r="C207" s="2" t="str">
        <f>IFERROR(__xludf.DUMMYFUNCTION("""COMPUTED_VALUE"""),"LAG 7")</f>
        <v>LAG 7</v>
      </c>
      <c r="D207" s="2">
        <f>IFERROR(__xludf.DUMMYFUNCTION("""COMPUTED_VALUE"""),14.0)</f>
        <v>14</v>
      </c>
      <c r="E207" s="2" t="str">
        <f>IFERROR(__xludf.DUMMYFUNCTION("""COMPUTED_VALUE"""),"Mixlag")</f>
        <v>Mixlag</v>
      </c>
    </row>
    <row r="208" ht="15.75" customHeight="1">
      <c r="A208" s="18">
        <f>IFERROR(__xludf.DUMMYFUNCTION("""COMPUTED_VALUE"""),45857.51592319444)</f>
        <v>45857.51592</v>
      </c>
      <c r="B208" s="2" t="str">
        <f>IFERROR(__xludf.DUMMYFUNCTION("""COMPUTED_VALUE"""),"Post 8")</f>
        <v>Post 8</v>
      </c>
      <c r="C208" s="2" t="str">
        <f>IFERROR(__xludf.DUMMYFUNCTION("""COMPUTED_VALUE"""),"LAG 26")</f>
        <v>LAG 26</v>
      </c>
      <c r="D208" s="2">
        <f>IFERROR(__xludf.DUMMYFUNCTION("""COMPUTED_VALUE"""),6.0)</f>
        <v>6</v>
      </c>
      <c r="E208" s="2" t="str">
        <f>IFERROR(__xludf.DUMMYFUNCTION("""COMPUTED_VALUE"""),"Damelag")</f>
        <v>Damelag</v>
      </c>
    </row>
    <row r="209" ht="15.75" customHeight="1">
      <c r="A209" s="18">
        <f>IFERROR(__xludf.DUMMYFUNCTION("""COMPUTED_VALUE"""),45857.51619807871)</f>
        <v>45857.5162</v>
      </c>
      <c r="B209" s="2" t="str">
        <f>IFERROR(__xludf.DUMMYFUNCTION("""COMPUTED_VALUE"""),"Post 4")</f>
        <v>Post 4</v>
      </c>
      <c r="C209" s="2" t="str">
        <f>IFERROR(__xludf.DUMMYFUNCTION("""COMPUTED_VALUE"""),"LAG 27")</f>
        <v>LAG 27</v>
      </c>
      <c r="D209" s="2">
        <f>IFERROR(__xludf.DUMMYFUNCTION("""COMPUTED_VALUE"""),15.0)</f>
        <v>15</v>
      </c>
      <c r="E209" s="2" t="str">
        <f>IFERROR(__xludf.DUMMYFUNCTION("""COMPUTED_VALUE"""),"Damelag")</f>
        <v>Damelag</v>
      </c>
    </row>
    <row r="210" ht="15.75" customHeight="1">
      <c r="A210" s="18">
        <f>IFERROR(__xludf.DUMMYFUNCTION("""COMPUTED_VALUE"""),45857.516212256945)</f>
        <v>45857.51621</v>
      </c>
      <c r="B210" s="2" t="str">
        <f>IFERROR(__xludf.DUMMYFUNCTION("""COMPUTED_VALUE"""),"Post 8")</f>
        <v>Post 8</v>
      </c>
      <c r="C210" s="2" t="str">
        <f>IFERROR(__xludf.DUMMYFUNCTION("""COMPUTED_VALUE"""),"LAG 26")</f>
        <v>LAG 26</v>
      </c>
      <c r="D210" s="2">
        <f>IFERROR(__xludf.DUMMYFUNCTION("""COMPUTED_VALUE"""),8.0)</f>
        <v>8</v>
      </c>
      <c r="E210" s="2" t="str">
        <f>IFERROR(__xludf.DUMMYFUNCTION("""COMPUTED_VALUE"""),"Damelag")</f>
        <v>Damelag</v>
      </c>
    </row>
    <row r="211" ht="15.75" customHeight="1">
      <c r="A211" s="18">
        <f>IFERROR(__xludf.DUMMYFUNCTION("""COMPUTED_VALUE"""),45857.51664462963)</f>
        <v>45857.51664</v>
      </c>
      <c r="B211" s="2" t="str">
        <f>IFERROR(__xludf.DUMMYFUNCTION("""COMPUTED_VALUE"""),"Post 12")</f>
        <v>Post 12</v>
      </c>
      <c r="C211" s="2" t="str">
        <f>IFERROR(__xludf.DUMMYFUNCTION("""COMPUTED_VALUE"""),"LAG 4")</f>
        <v>LAG 4</v>
      </c>
      <c r="D211" s="2">
        <f>IFERROR(__xludf.DUMMYFUNCTION("""COMPUTED_VALUE"""),13.0)</f>
        <v>13</v>
      </c>
      <c r="E211" s="2" t="str">
        <f>IFERROR(__xludf.DUMMYFUNCTION("""COMPUTED_VALUE"""),"Herrelag")</f>
        <v>Herrelag</v>
      </c>
    </row>
    <row r="212" ht="15.75" customHeight="1">
      <c r="A212" s="18">
        <f>IFERROR(__xludf.DUMMYFUNCTION("""COMPUTED_VALUE"""),45857.51691261574)</f>
        <v>45857.51691</v>
      </c>
      <c r="B212" s="2" t="str">
        <f>IFERROR(__xludf.DUMMYFUNCTION("""COMPUTED_VALUE"""),"Post 3")</f>
        <v>Post 3</v>
      </c>
      <c r="C212" s="2" t="str">
        <f>IFERROR(__xludf.DUMMYFUNCTION("""COMPUTED_VALUE"""),"LAG 77")</f>
        <v>LAG 77</v>
      </c>
      <c r="D212" s="2">
        <f>IFERROR(__xludf.DUMMYFUNCTION("""COMPUTED_VALUE"""),16.0)</f>
        <v>16</v>
      </c>
      <c r="E212" s="2" t="str">
        <f>IFERROR(__xludf.DUMMYFUNCTION("""COMPUTED_VALUE"""),"Mixlag")</f>
        <v>Mixlag</v>
      </c>
    </row>
    <row r="213" ht="15.75" customHeight="1">
      <c r="A213" s="18">
        <f>IFERROR(__xludf.DUMMYFUNCTION("""COMPUTED_VALUE"""),45857.51720672454)</f>
        <v>45857.51721</v>
      </c>
      <c r="B213" s="2" t="str">
        <f>IFERROR(__xludf.DUMMYFUNCTION("""COMPUTED_VALUE"""),"Post 6")</f>
        <v>Post 6</v>
      </c>
      <c r="C213" s="2" t="str">
        <f>IFERROR(__xludf.DUMMYFUNCTION("""COMPUTED_VALUE"""),"LAG 6")</f>
        <v>LAG 6</v>
      </c>
      <c r="D213" s="2">
        <f>IFERROR(__xludf.DUMMYFUNCTION("""COMPUTED_VALUE"""),4.0)</f>
        <v>4</v>
      </c>
      <c r="E213" s="2" t="str">
        <f>IFERROR(__xludf.DUMMYFUNCTION("""COMPUTED_VALUE"""),"Mixlag")</f>
        <v>Mixlag</v>
      </c>
    </row>
    <row r="214" ht="15.75" customHeight="1">
      <c r="A214" s="18">
        <f>IFERROR(__xludf.DUMMYFUNCTION("""COMPUTED_VALUE"""),45857.517342060186)</f>
        <v>45857.51734</v>
      </c>
      <c r="B214" s="2" t="str">
        <f>IFERROR(__xludf.DUMMYFUNCTION("""COMPUTED_VALUE"""),"Post 9")</f>
        <v>Post 9</v>
      </c>
      <c r="C214" s="2" t="str">
        <f>IFERROR(__xludf.DUMMYFUNCTION("""COMPUTED_VALUE"""),"LAG 34")</f>
        <v>LAG 34</v>
      </c>
      <c r="D214" s="2">
        <f>IFERROR(__xludf.DUMMYFUNCTION("""COMPUTED_VALUE"""),17.0)</f>
        <v>17</v>
      </c>
      <c r="E214" s="2" t="str">
        <f>IFERROR(__xludf.DUMMYFUNCTION("""COMPUTED_VALUE"""),"Damelag")</f>
        <v>Damelag</v>
      </c>
    </row>
    <row r="215" ht="15.75" customHeight="1">
      <c r="A215" s="18">
        <f>IFERROR(__xludf.DUMMYFUNCTION("""COMPUTED_VALUE"""),45857.51747542824)</f>
        <v>45857.51748</v>
      </c>
      <c r="B215" s="2" t="str">
        <f>IFERROR(__xludf.DUMMYFUNCTION("""COMPUTED_VALUE"""),"Post 4")</f>
        <v>Post 4</v>
      </c>
      <c r="C215" s="2" t="str">
        <f>IFERROR(__xludf.DUMMYFUNCTION("""COMPUTED_VALUE"""),"LAG 28")</f>
        <v>LAG 28</v>
      </c>
      <c r="D215" s="2">
        <f>IFERROR(__xludf.DUMMYFUNCTION("""COMPUTED_VALUE"""),15.0)</f>
        <v>15</v>
      </c>
      <c r="E215" s="2" t="str">
        <f>IFERROR(__xludf.DUMMYFUNCTION("""COMPUTED_VALUE"""),"Damelag")</f>
        <v>Damelag</v>
      </c>
    </row>
    <row r="216" ht="15.75" customHeight="1">
      <c r="A216" s="18">
        <f>IFERROR(__xludf.DUMMYFUNCTION("""COMPUTED_VALUE"""),45857.51764931713)</f>
        <v>45857.51765</v>
      </c>
      <c r="B216" s="2" t="str">
        <f>IFERROR(__xludf.DUMMYFUNCTION("""COMPUTED_VALUE"""),"Post 18")</f>
        <v>Post 18</v>
      </c>
      <c r="C216" s="2" t="str">
        <f>IFERROR(__xludf.DUMMYFUNCTION("""COMPUTED_VALUE"""),"LAG 78")</f>
        <v>LAG 78</v>
      </c>
      <c r="D216" s="2">
        <f>IFERROR(__xludf.DUMMYFUNCTION("""COMPUTED_VALUE"""),12.0)</f>
        <v>12</v>
      </c>
      <c r="E216" s="2" t="str">
        <f>IFERROR(__xludf.DUMMYFUNCTION("""COMPUTED_VALUE"""),"Damelag")</f>
        <v>Damelag</v>
      </c>
    </row>
    <row r="217" ht="15.75" customHeight="1">
      <c r="A217" s="18">
        <f>IFERROR(__xludf.DUMMYFUNCTION("""COMPUTED_VALUE"""),45857.517932476854)</f>
        <v>45857.51793</v>
      </c>
      <c r="B217" s="2" t="str">
        <f>IFERROR(__xludf.DUMMYFUNCTION("""COMPUTED_VALUE"""),"Post 12")</f>
        <v>Post 12</v>
      </c>
      <c r="C217" s="2" t="str">
        <f>IFERROR(__xludf.DUMMYFUNCTION("""COMPUTED_VALUE"""),"LAG 44")</f>
        <v>LAG 44</v>
      </c>
      <c r="D217" s="2">
        <f>IFERROR(__xludf.DUMMYFUNCTION("""COMPUTED_VALUE"""),16.0)</f>
        <v>16</v>
      </c>
      <c r="E217" s="2" t="str">
        <f>IFERROR(__xludf.DUMMYFUNCTION("""COMPUTED_VALUE"""),"Damelag")</f>
        <v>Damelag</v>
      </c>
    </row>
    <row r="218" ht="15.75" customHeight="1">
      <c r="A218" s="18">
        <f>IFERROR(__xludf.DUMMYFUNCTION("""COMPUTED_VALUE"""),45857.51836778935)</f>
        <v>45857.51837</v>
      </c>
      <c r="B218" s="2" t="str">
        <f>IFERROR(__xludf.DUMMYFUNCTION("""COMPUTED_VALUE"""),"Post 8")</f>
        <v>Post 8</v>
      </c>
      <c r="C218" s="2" t="str">
        <f>IFERROR(__xludf.DUMMYFUNCTION("""COMPUTED_VALUE"""),"LAG 76")</f>
        <v>LAG 76</v>
      </c>
      <c r="D218" s="2">
        <f>IFERROR(__xludf.DUMMYFUNCTION("""COMPUTED_VALUE"""),12.0)</f>
        <v>12</v>
      </c>
      <c r="E218" s="2" t="str">
        <f>IFERROR(__xludf.DUMMYFUNCTION("""COMPUTED_VALUE"""),"Mixlag")</f>
        <v>Mixlag</v>
      </c>
    </row>
    <row r="219" ht="15.75" customHeight="1">
      <c r="A219" s="18">
        <f>IFERROR(__xludf.DUMMYFUNCTION("""COMPUTED_VALUE"""),45857.51874296296)</f>
        <v>45857.51874</v>
      </c>
      <c r="B219" s="2" t="str">
        <f>IFERROR(__xludf.DUMMYFUNCTION("""COMPUTED_VALUE"""),"Post 1")</f>
        <v>Post 1</v>
      </c>
      <c r="C219" s="2" t="str">
        <f>IFERROR(__xludf.DUMMYFUNCTION("""COMPUTED_VALUE"""),"LAG 5")</f>
        <v>LAG 5</v>
      </c>
      <c r="D219" s="2">
        <f>IFERROR(__xludf.DUMMYFUNCTION("""COMPUTED_VALUE"""),8.0)</f>
        <v>8</v>
      </c>
      <c r="E219" s="2" t="str">
        <f>IFERROR(__xludf.DUMMYFUNCTION("""COMPUTED_VALUE"""),"Mixlag")</f>
        <v>Mixlag</v>
      </c>
    </row>
    <row r="220" ht="15.75" customHeight="1">
      <c r="A220" s="18">
        <f>IFERROR(__xludf.DUMMYFUNCTION("""COMPUTED_VALUE"""),45857.518870775464)</f>
        <v>45857.51887</v>
      </c>
      <c r="B220" s="2" t="str">
        <f>IFERROR(__xludf.DUMMYFUNCTION("""COMPUTED_VALUE"""),"Post 1")</f>
        <v>Post 1</v>
      </c>
      <c r="C220" s="2" t="str">
        <f>IFERROR(__xludf.DUMMYFUNCTION("""COMPUTED_VALUE"""),"LAG 7")</f>
        <v>LAG 7</v>
      </c>
      <c r="D220" s="2">
        <f>IFERROR(__xludf.DUMMYFUNCTION("""COMPUTED_VALUE"""),20.0)</f>
        <v>20</v>
      </c>
      <c r="E220" s="2" t="str">
        <f>IFERROR(__xludf.DUMMYFUNCTION("""COMPUTED_VALUE"""),"Mixlag")</f>
        <v>Mixlag</v>
      </c>
    </row>
    <row r="221" ht="15.75" customHeight="1">
      <c r="A221" s="18">
        <f>IFERROR(__xludf.DUMMYFUNCTION("""COMPUTED_VALUE"""),45857.518972199076)</f>
        <v>45857.51897</v>
      </c>
      <c r="B221" s="2" t="str">
        <f>IFERROR(__xludf.DUMMYFUNCTION("""COMPUTED_VALUE"""),"Post 6")</f>
        <v>Post 6</v>
      </c>
      <c r="C221" s="2" t="str">
        <f>IFERROR(__xludf.DUMMYFUNCTION("""COMPUTED_VALUE"""),"LAG 6")</f>
        <v>LAG 6</v>
      </c>
      <c r="D221" s="2">
        <f>IFERROR(__xludf.DUMMYFUNCTION("""COMPUTED_VALUE"""),11.0)</f>
        <v>11</v>
      </c>
      <c r="E221" s="2" t="str">
        <f>IFERROR(__xludf.DUMMYFUNCTION("""COMPUTED_VALUE"""),"Mixlag")</f>
        <v>Mixlag</v>
      </c>
    </row>
    <row r="222" ht="15.75" customHeight="1">
      <c r="A222" s="18">
        <f>IFERROR(__xludf.DUMMYFUNCTION("""COMPUTED_VALUE"""),45857.51907895833)</f>
        <v>45857.51908</v>
      </c>
      <c r="B222" s="2" t="str">
        <f>IFERROR(__xludf.DUMMYFUNCTION("""COMPUTED_VALUE"""),"Post 1")</f>
        <v>Post 1</v>
      </c>
      <c r="C222" s="2" t="str">
        <f>IFERROR(__xludf.DUMMYFUNCTION("""COMPUTED_VALUE"""),"LAG 8")</f>
        <v>LAG 8</v>
      </c>
      <c r="D222" s="2">
        <f>IFERROR(__xludf.DUMMYFUNCTION("""COMPUTED_VALUE"""),14.0)</f>
        <v>14</v>
      </c>
      <c r="E222" s="2" t="str">
        <f>IFERROR(__xludf.DUMMYFUNCTION("""COMPUTED_VALUE"""),"Herrelag")</f>
        <v>Herrelag</v>
      </c>
    </row>
    <row r="223" ht="15.75" customHeight="1">
      <c r="A223" s="18">
        <f>IFERROR(__xludf.DUMMYFUNCTION("""COMPUTED_VALUE"""),45857.51930543981)</f>
        <v>45857.51931</v>
      </c>
      <c r="B223" s="2" t="str">
        <f>IFERROR(__xludf.DUMMYFUNCTION("""COMPUTED_VALUE"""),"Post 15")</f>
        <v>Post 15</v>
      </c>
      <c r="C223" s="2" t="str">
        <f>IFERROR(__xludf.DUMMYFUNCTION("""COMPUTED_VALUE"""),"LAG 12")</f>
        <v>LAG 12</v>
      </c>
      <c r="D223" s="2">
        <f>IFERROR(__xludf.DUMMYFUNCTION("""COMPUTED_VALUE"""),5.0)</f>
        <v>5</v>
      </c>
      <c r="E223" s="2" t="str">
        <f>IFERROR(__xludf.DUMMYFUNCTION("""COMPUTED_VALUE"""),"Damelag")</f>
        <v>Damelag</v>
      </c>
    </row>
    <row r="224" ht="15.75" customHeight="1">
      <c r="A224" s="18">
        <f>IFERROR(__xludf.DUMMYFUNCTION("""COMPUTED_VALUE"""),45857.51933256944)</f>
        <v>45857.51933</v>
      </c>
      <c r="B224" s="2" t="str">
        <f>IFERROR(__xludf.DUMMYFUNCTION("""COMPUTED_VALUE"""),"Post 1")</f>
        <v>Post 1</v>
      </c>
      <c r="C224" s="2" t="str">
        <f>IFERROR(__xludf.DUMMYFUNCTION("""COMPUTED_VALUE"""),"LAG 11")</f>
        <v>LAG 11</v>
      </c>
      <c r="D224" s="2">
        <f>IFERROR(__xludf.DUMMYFUNCTION("""COMPUTED_VALUE"""),14.0)</f>
        <v>14</v>
      </c>
      <c r="E224" s="2" t="str">
        <f>IFERROR(__xludf.DUMMYFUNCTION("""COMPUTED_VALUE"""),"Damelag")</f>
        <v>Damelag</v>
      </c>
    </row>
    <row r="225" ht="15.75" customHeight="1">
      <c r="A225" s="18">
        <f>IFERROR(__xludf.DUMMYFUNCTION("""COMPUTED_VALUE"""),45857.5193637037)</f>
        <v>45857.51936</v>
      </c>
      <c r="B225" s="2" t="str">
        <f>IFERROR(__xludf.DUMMYFUNCTION("""COMPUTED_VALUE"""),"Post 3")</f>
        <v>Post 3</v>
      </c>
      <c r="C225" s="2" t="str">
        <f>IFERROR(__xludf.DUMMYFUNCTION("""COMPUTED_VALUE"""),"LAG 20")</f>
        <v>LAG 20</v>
      </c>
      <c r="D225" s="2">
        <f>IFERROR(__xludf.DUMMYFUNCTION("""COMPUTED_VALUE"""),13.0)</f>
        <v>13</v>
      </c>
      <c r="E225" s="2" t="str">
        <f>IFERROR(__xludf.DUMMYFUNCTION("""COMPUTED_VALUE"""),"Damelag")</f>
        <v>Damelag</v>
      </c>
    </row>
    <row r="226" ht="15.75" customHeight="1">
      <c r="A226" s="18">
        <f>IFERROR(__xludf.DUMMYFUNCTION("""COMPUTED_VALUE"""),45857.51940282407)</f>
        <v>45857.5194</v>
      </c>
      <c r="B226" s="2" t="str">
        <f>IFERROR(__xludf.DUMMYFUNCTION("""COMPUTED_VALUE"""),"Post 10")</f>
        <v>Post 10</v>
      </c>
      <c r="C226" s="2" t="str">
        <f>IFERROR(__xludf.DUMMYFUNCTION("""COMPUTED_VALUE"""),"LAG 37")</f>
        <v>LAG 37</v>
      </c>
      <c r="D226" s="2">
        <f>IFERROR(__xludf.DUMMYFUNCTION("""COMPUTED_VALUE"""),15.0)</f>
        <v>15</v>
      </c>
      <c r="E226" s="2" t="str">
        <f>IFERROR(__xludf.DUMMYFUNCTION("""COMPUTED_VALUE"""),"Herrelag")</f>
        <v>Herrelag</v>
      </c>
    </row>
    <row r="227" ht="15.75" customHeight="1">
      <c r="A227" s="18">
        <f>IFERROR(__xludf.DUMMYFUNCTION("""COMPUTED_VALUE"""),45857.519474409724)</f>
        <v>45857.51947</v>
      </c>
      <c r="B227" s="2" t="str">
        <f>IFERROR(__xludf.DUMMYFUNCTION("""COMPUTED_VALUE"""),"Post 1")</f>
        <v>Post 1</v>
      </c>
      <c r="C227" s="2" t="str">
        <f>IFERROR(__xludf.DUMMYFUNCTION("""COMPUTED_VALUE"""),"LAG 16")</f>
        <v>LAG 16</v>
      </c>
      <c r="D227" s="2">
        <f>IFERROR(__xludf.DUMMYFUNCTION("""COMPUTED_VALUE"""),14.0)</f>
        <v>14</v>
      </c>
      <c r="E227" s="2" t="str">
        <f>IFERROR(__xludf.DUMMYFUNCTION("""COMPUTED_VALUE"""),"Herrelag")</f>
        <v>Herrelag</v>
      </c>
    </row>
    <row r="228" ht="15.75" customHeight="1">
      <c r="A228" s="18">
        <f>IFERROR(__xludf.DUMMYFUNCTION("""COMPUTED_VALUE"""),45857.51951244213)</f>
        <v>45857.51951</v>
      </c>
      <c r="B228" s="2" t="str">
        <f>IFERROR(__xludf.DUMMYFUNCTION("""COMPUTED_VALUE"""),"Post 12")</f>
        <v>Post 12</v>
      </c>
      <c r="C228" s="2" t="str">
        <f>IFERROR(__xludf.DUMMYFUNCTION("""COMPUTED_VALUE"""),"LAG 14")</f>
        <v>LAG 14</v>
      </c>
      <c r="D228" s="2">
        <f>IFERROR(__xludf.DUMMYFUNCTION("""COMPUTED_VALUE"""),14.0)</f>
        <v>14</v>
      </c>
      <c r="E228" s="2" t="str">
        <f>IFERROR(__xludf.DUMMYFUNCTION("""COMPUTED_VALUE"""),"Mixlag")</f>
        <v>Mixlag</v>
      </c>
    </row>
    <row r="229" ht="15.75" customHeight="1">
      <c r="A229" s="18">
        <f>IFERROR(__xludf.DUMMYFUNCTION("""COMPUTED_VALUE"""),45857.51951549768)</f>
        <v>45857.51952</v>
      </c>
      <c r="B229" s="2" t="str">
        <f>IFERROR(__xludf.DUMMYFUNCTION("""COMPUTED_VALUE"""),"Post 18")</f>
        <v>Post 18</v>
      </c>
      <c r="C229" s="2" t="str">
        <f>IFERROR(__xludf.DUMMYFUNCTION("""COMPUTED_VALUE"""),"LAG 44")</f>
        <v>LAG 44</v>
      </c>
      <c r="D229" s="2">
        <f>IFERROR(__xludf.DUMMYFUNCTION("""COMPUTED_VALUE"""),11.0)</f>
        <v>11</v>
      </c>
      <c r="E229" s="2" t="str">
        <f>IFERROR(__xludf.DUMMYFUNCTION("""COMPUTED_VALUE"""),"Damelag")</f>
        <v>Damelag</v>
      </c>
    </row>
    <row r="230" ht="15.75" customHeight="1">
      <c r="A230" s="18">
        <f>IFERROR(__xludf.DUMMYFUNCTION("""COMPUTED_VALUE"""),45857.5196031713)</f>
        <v>45857.5196</v>
      </c>
      <c r="B230" s="2" t="str">
        <f>IFERROR(__xludf.DUMMYFUNCTION("""COMPUTED_VALUE"""),"Post 1")</f>
        <v>Post 1</v>
      </c>
      <c r="C230" s="2" t="str">
        <f>IFERROR(__xludf.DUMMYFUNCTION("""COMPUTED_VALUE"""),"LAG 19")</f>
        <v>LAG 19</v>
      </c>
      <c r="D230" s="2">
        <f>IFERROR(__xludf.DUMMYFUNCTION("""COMPUTED_VALUE"""),0.0)</f>
        <v>0</v>
      </c>
      <c r="E230" s="2" t="str">
        <f>IFERROR(__xludf.DUMMYFUNCTION("""COMPUTED_VALUE"""),"Herrelag")</f>
        <v>Herrelag</v>
      </c>
    </row>
    <row r="231" ht="15.75" customHeight="1">
      <c r="A231" s="18">
        <f>IFERROR(__xludf.DUMMYFUNCTION("""COMPUTED_VALUE"""),45857.519751064814)</f>
        <v>45857.51975</v>
      </c>
      <c r="B231" s="2" t="str">
        <f>IFERROR(__xludf.DUMMYFUNCTION("""COMPUTED_VALUE"""),"Post 1")</f>
        <v>Post 1</v>
      </c>
      <c r="C231" s="2" t="str">
        <f>IFERROR(__xludf.DUMMYFUNCTION("""COMPUTED_VALUE"""),"LAG 21")</f>
        <v>LAG 21</v>
      </c>
      <c r="D231" s="2">
        <f>IFERROR(__xludf.DUMMYFUNCTION("""COMPUTED_VALUE"""),14.0)</f>
        <v>14</v>
      </c>
      <c r="E231" s="2" t="str">
        <f>IFERROR(__xludf.DUMMYFUNCTION("""COMPUTED_VALUE"""),"Damelag")</f>
        <v>Damelag</v>
      </c>
    </row>
    <row r="232" ht="15.75" customHeight="1">
      <c r="A232" s="18">
        <f>IFERROR(__xludf.DUMMYFUNCTION("""COMPUTED_VALUE"""),45857.51989405093)</f>
        <v>45857.51989</v>
      </c>
      <c r="B232" s="2" t="str">
        <f>IFERROR(__xludf.DUMMYFUNCTION("""COMPUTED_VALUE"""),"Post 1")</f>
        <v>Post 1</v>
      </c>
      <c r="C232" s="2" t="str">
        <f>IFERROR(__xludf.DUMMYFUNCTION("""COMPUTED_VALUE"""),"LAG 23")</f>
        <v>LAG 23</v>
      </c>
      <c r="D232" s="2">
        <f>IFERROR(__xludf.DUMMYFUNCTION("""COMPUTED_VALUE"""),0.0)</f>
        <v>0</v>
      </c>
      <c r="E232" s="2" t="str">
        <f>IFERROR(__xludf.DUMMYFUNCTION("""COMPUTED_VALUE"""),"Damelag")</f>
        <v>Damelag</v>
      </c>
    </row>
    <row r="233" ht="15.75" customHeight="1">
      <c r="A233" s="18">
        <f>IFERROR(__xludf.DUMMYFUNCTION("""COMPUTED_VALUE"""),45857.52000024305)</f>
        <v>45857.52</v>
      </c>
      <c r="B233" s="2" t="str">
        <f>IFERROR(__xludf.DUMMYFUNCTION("""COMPUTED_VALUE"""),"Post 9")</f>
        <v>Post 9</v>
      </c>
      <c r="C233" s="2" t="str">
        <f>IFERROR(__xludf.DUMMYFUNCTION("""COMPUTED_VALUE"""),"LAG 2")</f>
        <v>LAG 2</v>
      </c>
      <c r="D233" s="2">
        <f>IFERROR(__xludf.DUMMYFUNCTION("""COMPUTED_VALUE"""),22.0)</f>
        <v>22</v>
      </c>
      <c r="E233" s="2" t="str">
        <f>IFERROR(__xludf.DUMMYFUNCTION("""COMPUTED_VALUE"""),"Damelag")</f>
        <v>Damelag</v>
      </c>
    </row>
    <row r="234" ht="15.75" customHeight="1">
      <c r="A234" s="18">
        <f>IFERROR(__xludf.DUMMYFUNCTION("""COMPUTED_VALUE"""),45857.520023495366)</f>
        <v>45857.52002</v>
      </c>
      <c r="B234" s="2" t="str">
        <f>IFERROR(__xludf.DUMMYFUNCTION("""COMPUTED_VALUE"""),"Post 1")</f>
        <v>Post 1</v>
      </c>
      <c r="C234" s="2" t="str">
        <f>IFERROR(__xludf.DUMMYFUNCTION("""COMPUTED_VALUE"""),"LAG 25")</f>
        <v>LAG 25</v>
      </c>
      <c r="D234" s="2">
        <f>IFERROR(__xludf.DUMMYFUNCTION("""COMPUTED_VALUE"""),0.0)</f>
        <v>0</v>
      </c>
      <c r="E234" s="2" t="str">
        <f>IFERROR(__xludf.DUMMYFUNCTION("""COMPUTED_VALUE"""),"Herrelag")</f>
        <v>Herrelag</v>
      </c>
    </row>
    <row r="235" ht="15.75" customHeight="1">
      <c r="A235" s="18">
        <f>IFERROR(__xludf.DUMMYFUNCTION("""COMPUTED_VALUE"""),45857.520170625)</f>
        <v>45857.52017</v>
      </c>
      <c r="B235" s="2" t="str">
        <f>IFERROR(__xludf.DUMMYFUNCTION("""COMPUTED_VALUE"""),"Post 1")</f>
        <v>Post 1</v>
      </c>
      <c r="C235" s="2" t="str">
        <f>IFERROR(__xludf.DUMMYFUNCTION("""COMPUTED_VALUE"""),"LAG 37")</f>
        <v>LAG 37</v>
      </c>
      <c r="D235" s="2">
        <f>IFERROR(__xludf.DUMMYFUNCTION("""COMPUTED_VALUE"""),6.0)</f>
        <v>6</v>
      </c>
      <c r="E235" s="2" t="str">
        <f>IFERROR(__xludf.DUMMYFUNCTION("""COMPUTED_VALUE"""),"Herrelag")</f>
        <v>Herrelag</v>
      </c>
    </row>
    <row r="236" ht="15.75" customHeight="1">
      <c r="A236" s="18">
        <f>IFERROR(__xludf.DUMMYFUNCTION("""COMPUTED_VALUE"""),45857.520214606484)</f>
        <v>45857.52021</v>
      </c>
      <c r="B236" s="2" t="str">
        <f>IFERROR(__xludf.DUMMYFUNCTION("""COMPUTED_VALUE"""),"Post 2")</f>
        <v>Post 2</v>
      </c>
      <c r="C236" s="2" t="str">
        <f>IFERROR(__xludf.DUMMYFUNCTION("""COMPUTED_VALUE"""),"LAG 59")</f>
        <v>LAG 59</v>
      </c>
      <c r="D236" s="2">
        <f>IFERROR(__xludf.DUMMYFUNCTION("""COMPUTED_VALUE"""),15.0)</f>
        <v>15</v>
      </c>
      <c r="E236" s="2" t="str">
        <f>IFERROR(__xludf.DUMMYFUNCTION("""COMPUTED_VALUE"""),"Damelag")</f>
        <v>Damelag</v>
      </c>
    </row>
    <row r="237" ht="15.75" customHeight="1">
      <c r="A237" s="18">
        <f>IFERROR(__xludf.DUMMYFUNCTION("""COMPUTED_VALUE"""),45857.52034766204)</f>
        <v>45857.52035</v>
      </c>
      <c r="B237" s="2" t="str">
        <f>IFERROR(__xludf.DUMMYFUNCTION("""COMPUTED_VALUE"""),"Post 1")</f>
        <v>Post 1</v>
      </c>
      <c r="C237" s="2" t="str">
        <f>IFERROR(__xludf.DUMMYFUNCTION("""COMPUTED_VALUE"""),"LAG 46")</f>
        <v>LAG 46</v>
      </c>
      <c r="D237" s="2">
        <f>IFERROR(__xludf.DUMMYFUNCTION("""COMPUTED_VALUE"""),14.0)</f>
        <v>14</v>
      </c>
      <c r="E237" s="2" t="str">
        <f>IFERROR(__xludf.DUMMYFUNCTION("""COMPUTED_VALUE"""),"Mixlag")</f>
        <v>Mixlag</v>
      </c>
    </row>
    <row r="238" ht="15.75" customHeight="1">
      <c r="A238" s="18">
        <f>IFERROR(__xludf.DUMMYFUNCTION("""COMPUTED_VALUE"""),45857.52051311343)</f>
        <v>45857.52051</v>
      </c>
      <c r="B238" s="2" t="str">
        <f>IFERROR(__xludf.DUMMYFUNCTION("""COMPUTED_VALUE"""),"Post 1")</f>
        <v>Post 1</v>
      </c>
      <c r="C238" s="2" t="str">
        <f>IFERROR(__xludf.DUMMYFUNCTION("""COMPUTED_VALUE"""),"LAG 48")</f>
        <v>LAG 48</v>
      </c>
      <c r="D238" s="2">
        <f>IFERROR(__xludf.DUMMYFUNCTION("""COMPUTED_VALUE"""),16.0)</f>
        <v>16</v>
      </c>
      <c r="E238" s="2" t="str">
        <f>IFERROR(__xludf.DUMMYFUNCTION("""COMPUTED_VALUE"""),"Damelag")</f>
        <v>Damelag</v>
      </c>
    </row>
    <row r="239" ht="15.75" customHeight="1">
      <c r="A239" s="18">
        <f>IFERROR(__xludf.DUMMYFUNCTION("""COMPUTED_VALUE"""),45857.52064649305)</f>
        <v>45857.52065</v>
      </c>
      <c r="B239" s="2" t="str">
        <f>IFERROR(__xludf.DUMMYFUNCTION("""COMPUTED_VALUE"""),"Post 1")</f>
        <v>Post 1</v>
      </c>
      <c r="C239" s="2" t="str">
        <f>IFERROR(__xludf.DUMMYFUNCTION("""COMPUTED_VALUE"""),"LAG 49")</f>
        <v>LAG 49</v>
      </c>
      <c r="D239" s="2">
        <f>IFERROR(__xludf.DUMMYFUNCTION("""COMPUTED_VALUE"""),12.0)</f>
        <v>12</v>
      </c>
      <c r="E239" s="2" t="str">
        <f>IFERROR(__xludf.DUMMYFUNCTION("""COMPUTED_VALUE"""),"Damelag")</f>
        <v>Damelag</v>
      </c>
    </row>
    <row r="240" ht="15.75" customHeight="1">
      <c r="A240" s="18">
        <f>IFERROR(__xludf.DUMMYFUNCTION("""COMPUTED_VALUE"""),45857.52068918981)</f>
        <v>45857.52069</v>
      </c>
      <c r="B240" s="2" t="str">
        <f>IFERROR(__xludf.DUMMYFUNCTION("""COMPUTED_VALUE"""),"Post 8")</f>
        <v>Post 8</v>
      </c>
      <c r="C240" s="2" t="str">
        <f>IFERROR(__xludf.DUMMYFUNCTION("""COMPUTED_VALUE"""),"LAG 17")</f>
        <v>LAG 17</v>
      </c>
      <c r="D240" s="2">
        <f>IFERROR(__xludf.DUMMYFUNCTION("""COMPUTED_VALUE"""),10.0)</f>
        <v>10</v>
      </c>
      <c r="E240" s="2" t="str">
        <f>IFERROR(__xludf.DUMMYFUNCTION("""COMPUTED_VALUE"""),"Damelag")</f>
        <v>Damelag</v>
      </c>
    </row>
    <row r="241" ht="15.75" customHeight="1">
      <c r="A241" s="18">
        <f>IFERROR(__xludf.DUMMYFUNCTION("""COMPUTED_VALUE"""),45857.52081393519)</f>
        <v>45857.52081</v>
      </c>
      <c r="B241" s="2" t="str">
        <f>IFERROR(__xludf.DUMMYFUNCTION("""COMPUTED_VALUE"""),"Post 1")</f>
        <v>Post 1</v>
      </c>
      <c r="C241" s="2" t="str">
        <f>IFERROR(__xludf.DUMMYFUNCTION("""COMPUTED_VALUE"""),"LAG 51")</f>
        <v>LAG 51</v>
      </c>
      <c r="D241" s="2">
        <f>IFERROR(__xludf.DUMMYFUNCTION("""COMPUTED_VALUE"""),4.0)</f>
        <v>4</v>
      </c>
      <c r="E241" s="2" t="str">
        <f>IFERROR(__xludf.DUMMYFUNCTION("""COMPUTED_VALUE"""),"Mixlag")</f>
        <v>Mixlag</v>
      </c>
    </row>
    <row r="242" ht="15.75" customHeight="1">
      <c r="A242" s="18">
        <f>IFERROR(__xludf.DUMMYFUNCTION("""COMPUTED_VALUE"""),45857.52099928241)</f>
        <v>45857.521</v>
      </c>
      <c r="B242" s="2" t="str">
        <f>IFERROR(__xludf.DUMMYFUNCTION("""COMPUTED_VALUE"""),"Post 1")</f>
        <v>Post 1</v>
      </c>
      <c r="C242" s="2" t="str">
        <f>IFERROR(__xludf.DUMMYFUNCTION("""COMPUTED_VALUE"""),"LAG 55")</f>
        <v>LAG 55</v>
      </c>
      <c r="D242" s="2">
        <f>IFERROR(__xludf.DUMMYFUNCTION("""COMPUTED_VALUE"""),18.0)</f>
        <v>18</v>
      </c>
      <c r="E242" s="2" t="str">
        <f>IFERROR(__xludf.DUMMYFUNCTION("""COMPUTED_VALUE"""),"Damelag")</f>
        <v>Damelag</v>
      </c>
    </row>
    <row r="243" ht="15.75" customHeight="1">
      <c r="A243" s="18">
        <f>IFERROR(__xludf.DUMMYFUNCTION("""COMPUTED_VALUE"""),45857.52115858796)</f>
        <v>45857.52116</v>
      </c>
      <c r="B243" s="2" t="str">
        <f>IFERROR(__xludf.DUMMYFUNCTION("""COMPUTED_VALUE"""),"Post 1")</f>
        <v>Post 1</v>
      </c>
      <c r="C243" s="2" t="str">
        <f>IFERROR(__xludf.DUMMYFUNCTION("""COMPUTED_VALUE"""),"LAG 59")</f>
        <v>LAG 59</v>
      </c>
      <c r="D243" s="2">
        <f>IFERROR(__xludf.DUMMYFUNCTION("""COMPUTED_VALUE"""),20.0)</f>
        <v>20</v>
      </c>
      <c r="E243" s="2" t="str">
        <f>IFERROR(__xludf.DUMMYFUNCTION("""COMPUTED_VALUE"""),"Damelag")</f>
        <v>Damelag</v>
      </c>
    </row>
    <row r="244" ht="15.75" customHeight="1">
      <c r="A244" s="18">
        <f>IFERROR(__xludf.DUMMYFUNCTION("""COMPUTED_VALUE"""),45857.52126005787)</f>
        <v>45857.52126</v>
      </c>
      <c r="B244" s="2" t="str">
        <f>IFERROR(__xludf.DUMMYFUNCTION("""COMPUTED_VALUE"""),"Post 12")</f>
        <v>Post 12</v>
      </c>
      <c r="C244" s="2" t="str">
        <f>IFERROR(__xludf.DUMMYFUNCTION("""COMPUTED_VALUE"""),"LAG 78")</f>
        <v>LAG 78</v>
      </c>
      <c r="D244" s="2">
        <f>IFERROR(__xludf.DUMMYFUNCTION("""COMPUTED_VALUE"""),18.0)</f>
        <v>18</v>
      </c>
      <c r="E244" s="2" t="str">
        <f>IFERROR(__xludf.DUMMYFUNCTION("""COMPUTED_VALUE"""),"Damelag")</f>
        <v>Damelag</v>
      </c>
    </row>
    <row r="245" ht="15.75" customHeight="1">
      <c r="A245" s="18">
        <f>IFERROR(__xludf.DUMMYFUNCTION("""COMPUTED_VALUE"""),45857.52136824074)</f>
        <v>45857.52137</v>
      </c>
      <c r="B245" s="2" t="str">
        <f>IFERROR(__xludf.DUMMYFUNCTION("""COMPUTED_VALUE"""),"Post 3")</f>
        <v>Post 3</v>
      </c>
      <c r="C245" s="2" t="str">
        <f>IFERROR(__xludf.DUMMYFUNCTION("""COMPUTED_VALUE"""),"LAG 32")</f>
        <v>LAG 32</v>
      </c>
      <c r="D245" s="2">
        <f>IFERROR(__xludf.DUMMYFUNCTION("""COMPUTED_VALUE"""),14.0)</f>
        <v>14</v>
      </c>
      <c r="E245" s="2" t="str">
        <f>IFERROR(__xludf.DUMMYFUNCTION("""COMPUTED_VALUE"""),"Damelag")</f>
        <v>Damelag</v>
      </c>
    </row>
    <row r="246" ht="15.75" customHeight="1">
      <c r="A246" s="18">
        <f>IFERROR(__xludf.DUMMYFUNCTION("""COMPUTED_VALUE"""),45857.52136864583)</f>
        <v>45857.52137</v>
      </c>
      <c r="B246" s="2" t="str">
        <f>IFERROR(__xludf.DUMMYFUNCTION("""COMPUTED_VALUE"""),"Post 1")</f>
        <v>Post 1</v>
      </c>
      <c r="C246" s="2" t="str">
        <f>IFERROR(__xludf.DUMMYFUNCTION("""COMPUTED_VALUE"""),"LAG 70")</f>
        <v>LAG 70</v>
      </c>
      <c r="D246" s="2">
        <f>IFERROR(__xludf.DUMMYFUNCTION("""COMPUTED_VALUE"""),16.0)</f>
        <v>16</v>
      </c>
      <c r="E246" s="2" t="str">
        <f>IFERROR(__xludf.DUMMYFUNCTION("""COMPUTED_VALUE"""),"Mixlag")</f>
        <v>Mixlag</v>
      </c>
    </row>
    <row r="247" ht="15.75" customHeight="1">
      <c r="A247" s="18">
        <f>IFERROR(__xludf.DUMMYFUNCTION("""COMPUTED_VALUE"""),45857.52151899306)</f>
        <v>45857.52152</v>
      </c>
      <c r="B247" s="2" t="str">
        <f>IFERROR(__xludf.DUMMYFUNCTION("""COMPUTED_VALUE"""),"Post 1")</f>
        <v>Post 1</v>
      </c>
      <c r="C247" s="2" t="str">
        <f>IFERROR(__xludf.DUMMYFUNCTION("""COMPUTED_VALUE"""),"LAG 77")</f>
        <v>LAG 77</v>
      </c>
      <c r="D247" s="2">
        <f>IFERROR(__xludf.DUMMYFUNCTION("""COMPUTED_VALUE"""),0.0)</f>
        <v>0</v>
      </c>
      <c r="E247" s="2" t="str">
        <f>IFERROR(__xludf.DUMMYFUNCTION("""COMPUTED_VALUE"""),"Mixlag")</f>
        <v>Mixlag</v>
      </c>
    </row>
    <row r="248" ht="15.75" customHeight="1">
      <c r="A248" s="18">
        <f>IFERROR(__xludf.DUMMYFUNCTION("""COMPUTED_VALUE"""),45857.52163707176)</f>
        <v>45857.52164</v>
      </c>
      <c r="B248" s="2" t="str">
        <f>IFERROR(__xludf.DUMMYFUNCTION("""COMPUTED_VALUE"""),"Post 12")</f>
        <v>Post 12</v>
      </c>
      <c r="C248" s="2" t="str">
        <f>IFERROR(__xludf.DUMMYFUNCTION("""COMPUTED_VALUE"""),"LAG 24")</f>
        <v>LAG 24</v>
      </c>
      <c r="D248" s="2">
        <f>IFERROR(__xludf.DUMMYFUNCTION("""COMPUTED_VALUE"""),16.0)</f>
        <v>16</v>
      </c>
      <c r="E248" s="2" t="str">
        <f>IFERROR(__xludf.DUMMYFUNCTION("""COMPUTED_VALUE"""),"Herrelag")</f>
        <v>Herrelag</v>
      </c>
    </row>
    <row r="249" ht="15.75" customHeight="1">
      <c r="A249" s="18">
        <f>IFERROR(__xludf.DUMMYFUNCTION("""COMPUTED_VALUE"""),45857.521685196756)</f>
        <v>45857.52169</v>
      </c>
      <c r="B249" s="2" t="str">
        <f>IFERROR(__xludf.DUMMYFUNCTION("""COMPUTED_VALUE"""),"Post 1")</f>
        <v>Post 1</v>
      </c>
      <c r="C249" s="2" t="str">
        <f>IFERROR(__xludf.DUMMYFUNCTION("""COMPUTED_VALUE"""),"LAG 82")</f>
        <v>LAG 82</v>
      </c>
      <c r="D249" s="2">
        <f>IFERROR(__xludf.DUMMYFUNCTION("""COMPUTED_VALUE"""),8.0)</f>
        <v>8</v>
      </c>
      <c r="E249" s="2" t="str">
        <f>IFERROR(__xludf.DUMMYFUNCTION("""COMPUTED_VALUE"""),"Mixlag")</f>
        <v>Mixlag</v>
      </c>
    </row>
    <row r="250" ht="15.75" customHeight="1">
      <c r="A250" s="18">
        <f>IFERROR(__xludf.DUMMYFUNCTION("""COMPUTED_VALUE"""),45857.521797685185)</f>
        <v>45857.5218</v>
      </c>
      <c r="B250" s="2" t="str">
        <f>IFERROR(__xludf.DUMMYFUNCTION("""COMPUTED_VALUE"""),"Post 4")</f>
        <v>Post 4</v>
      </c>
      <c r="C250" s="2" t="str">
        <f>IFERROR(__xludf.DUMMYFUNCTION("""COMPUTED_VALUE"""),"LAG 81")</f>
        <v>LAG 81</v>
      </c>
      <c r="D250" s="2">
        <f>IFERROR(__xludf.DUMMYFUNCTION("""COMPUTED_VALUE"""),15.0)</f>
        <v>15</v>
      </c>
      <c r="E250" s="2" t="str">
        <f>IFERROR(__xludf.DUMMYFUNCTION("""COMPUTED_VALUE"""),"Herrelag")</f>
        <v>Herrelag</v>
      </c>
    </row>
    <row r="251" ht="15.75" customHeight="1">
      <c r="A251" s="18">
        <f>IFERROR(__xludf.DUMMYFUNCTION("""COMPUTED_VALUE"""),45857.52191497685)</f>
        <v>45857.52191</v>
      </c>
      <c r="B251" s="2" t="str">
        <f>IFERROR(__xludf.DUMMYFUNCTION("""COMPUTED_VALUE"""),"Post 1")</f>
        <v>Post 1</v>
      </c>
      <c r="C251" s="2" t="str">
        <f>IFERROR(__xludf.DUMMYFUNCTION("""COMPUTED_VALUE"""),"LAG 84")</f>
        <v>LAG 84</v>
      </c>
      <c r="D251" s="2">
        <f>IFERROR(__xludf.DUMMYFUNCTION("""COMPUTED_VALUE"""),8.0)</f>
        <v>8</v>
      </c>
      <c r="E251" s="2" t="str">
        <f>IFERROR(__xludf.DUMMYFUNCTION("""COMPUTED_VALUE"""),"Herrelag")</f>
        <v>Herrelag</v>
      </c>
    </row>
    <row r="252" ht="15.75" customHeight="1">
      <c r="A252" s="18">
        <f>IFERROR(__xludf.DUMMYFUNCTION("""COMPUTED_VALUE"""),45857.522103923606)</f>
        <v>45857.5221</v>
      </c>
      <c r="B252" s="2" t="str">
        <f>IFERROR(__xludf.DUMMYFUNCTION("""COMPUTED_VALUE"""),"Post 2")</f>
        <v>Post 2</v>
      </c>
      <c r="C252" s="2" t="str">
        <f>IFERROR(__xludf.DUMMYFUNCTION("""COMPUTED_VALUE"""),"LAG 2")</f>
        <v>LAG 2</v>
      </c>
      <c r="D252" s="2">
        <f>IFERROR(__xludf.DUMMYFUNCTION("""COMPUTED_VALUE"""),15.0)</f>
        <v>15</v>
      </c>
      <c r="E252" s="2" t="str">
        <f>IFERROR(__xludf.DUMMYFUNCTION("""COMPUTED_VALUE"""),"Damelag")</f>
        <v>Damelag</v>
      </c>
    </row>
    <row r="253" ht="15.75" customHeight="1">
      <c r="A253" s="18">
        <f>IFERROR(__xludf.DUMMYFUNCTION("""COMPUTED_VALUE"""),45857.52223307871)</f>
        <v>45857.52223</v>
      </c>
      <c r="B253" s="2" t="str">
        <f>IFERROR(__xludf.DUMMYFUNCTION("""COMPUTED_VALUE"""),"Post 15")</f>
        <v>Post 15</v>
      </c>
      <c r="C253" s="2" t="str">
        <f>IFERROR(__xludf.DUMMYFUNCTION("""COMPUTED_VALUE"""),"LAG 74")</f>
        <v>LAG 74</v>
      </c>
      <c r="D253" s="2">
        <f>IFERROR(__xludf.DUMMYFUNCTION("""COMPUTED_VALUE"""),10.0)</f>
        <v>10</v>
      </c>
      <c r="E253" s="2" t="str">
        <f>IFERROR(__xludf.DUMMYFUNCTION("""COMPUTED_VALUE"""),"Damelag")</f>
        <v>Damelag</v>
      </c>
    </row>
    <row r="254" ht="15.75" customHeight="1">
      <c r="A254" s="18">
        <f>IFERROR(__xludf.DUMMYFUNCTION("""COMPUTED_VALUE"""),45857.52261627315)</f>
        <v>45857.52262</v>
      </c>
      <c r="B254" s="2" t="str">
        <f>IFERROR(__xludf.DUMMYFUNCTION("""COMPUTED_VALUE"""),"Post 6")</f>
        <v>Post 6</v>
      </c>
      <c r="C254" s="2" t="str">
        <f>IFERROR(__xludf.DUMMYFUNCTION("""COMPUTED_VALUE"""),"LAG 38")</f>
        <v>LAG 38</v>
      </c>
      <c r="D254" s="2">
        <f>IFERROR(__xludf.DUMMYFUNCTION("""COMPUTED_VALUE"""),0.0)</f>
        <v>0</v>
      </c>
      <c r="E254" s="2" t="str">
        <f>IFERROR(__xludf.DUMMYFUNCTION("""COMPUTED_VALUE"""),"Damelag")</f>
        <v>Damelag</v>
      </c>
    </row>
    <row r="255" ht="15.75" customHeight="1">
      <c r="A255" s="18">
        <f>IFERROR(__xludf.DUMMYFUNCTION("""COMPUTED_VALUE"""),45857.52270608796)</f>
        <v>45857.52271</v>
      </c>
      <c r="B255" s="2" t="str">
        <f>IFERROR(__xludf.DUMMYFUNCTION("""COMPUTED_VALUE"""),"Post 8")</f>
        <v>Post 8</v>
      </c>
      <c r="C255" s="2" t="str">
        <f>IFERROR(__xludf.DUMMYFUNCTION("""COMPUTED_VALUE"""),"LAG 11")</f>
        <v>LAG 11</v>
      </c>
      <c r="D255" s="2">
        <f>IFERROR(__xludf.DUMMYFUNCTION("""COMPUTED_VALUE"""),9.0)</f>
        <v>9</v>
      </c>
      <c r="E255" s="2" t="str">
        <f>IFERROR(__xludf.DUMMYFUNCTION("""COMPUTED_VALUE"""),"Damelag")</f>
        <v>Damelag</v>
      </c>
    </row>
    <row r="256" ht="15.75" customHeight="1">
      <c r="A256" s="18">
        <f>IFERROR(__xludf.DUMMYFUNCTION("""COMPUTED_VALUE"""),45857.52297439815)</f>
        <v>45857.52297</v>
      </c>
      <c r="B256" s="2" t="str">
        <f>IFERROR(__xludf.DUMMYFUNCTION("""COMPUTED_VALUE"""),"Post 18")</f>
        <v>Post 18</v>
      </c>
      <c r="C256" s="2" t="str">
        <f>IFERROR(__xludf.DUMMYFUNCTION("""COMPUTED_VALUE"""),"LAG 69")</f>
        <v>LAG 69</v>
      </c>
      <c r="D256" s="2">
        <f>IFERROR(__xludf.DUMMYFUNCTION("""COMPUTED_VALUE"""),16.0)</f>
        <v>16</v>
      </c>
      <c r="E256" s="2" t="str">
        <f>IFERROR(__xludf.DUMMYFUNCTION("""COMPUTED_VALUE"""),"Herrelag")</f>
        <v>Herrelag</v>
      </c>
    </row>
    <row r="257" ht="15.75" customHeight="1">
      <c r="A257" s="18">
        <f>IFERROR(__xludf.DUMMYFUNCTION("""COMPUTED_VALUE"""),45857.52316186343)</f>
        <v>45857.52316</v>
      </c>
      <c r="B257" s="2" t="str">
        <f>IFERROR(__xludf.DUMMYFUNCTION("""COMPUTED_VALUE"""),"Post 3")</f>
        <v>Post 3</v>
      </c>
      <c r="C257" s="2" t="str">
        <f>IFERROR(__xludf.DUMMYFUNCTION("""COMPUTED_VALUE"""),"LAG 35")</f>
        <v>LAG 35</v>
      </c>
      <c r="D257" s="2">
        <f>IFERROR(__xludf.DUMMYFUNCTION("""COMPUTED_VALUE"""),12.0)</f>
        <v>12</v>
      </c>
      <c r="E257" s="2" t="str">
        <f>IFERROR(__xludf.DUMMYFUNCTION("""COMPUTED_VALUE"""),"Damelag")</f>
        <v>Damelag</v>
      </c>
    </row>
    <row r="258" ht="15.75" customHeight="1">
      <c r="A258" s="18">
        <f>IFERROR(__xludf.DUMMYFUNCTION("""COMPUTED_VALUE"""),45857.52334115741)</f>
        <v>45857.52334</v>
      </c>
      <c r="B258" s="2" t="str">
        <f>IFERROR(__xludf.DUMMYFUNCTION("""COMPUTED_VALUE"""),"Post 4")</f>
        <v>Post 4</v>
      </c>
      <c r="C258" s="2" t="str">
        <f>IFERROR(__xludf.DUMMYFUNCTION("""COMPUTED_VALUE"""),"LAG 42")</f>
        <v>LAG 42</v>
      </c>
      <c r="D258" s="2">
        <f>IFERROR(__xludf.DUMMYFUNCTION("""COMPUTED_VALUE"""),15.0)</f>
        <v>15</v>
      </c>
      <c r="E258" s="2" t="str">
        <f>IFERROR(__xludf.DUMMYFUNCTION("""COMPUTED_VALUE"""),"Damelag")</f>
        <v>Damelag</v>
      </c>
    </row>
    <row r="259" ht="15.75" customHeight="1">
      <c r="A259" s="18">
        <f>IFERROR(__xludf.DUMMYFUNCTION("""COMPUTED_VALUE"""),45857.52346896991)</f>
        <v>45857.52347</v>
      </c>
      <c r="B259" s="2" t="str">
        <f>IFERROR(__xludf.DUMMYFUNCTION("""COMPUTED_VALUE"""),"Post 1")</f>
        <v>Post 1</v>
      </c>
      <c r="C259" s="2" t="str">
        <f>IFERROR(__xludf.DUMMYFUNCTION("""COMPUTED_VALUE"""),"LAG 13")</f>
        <v>LAG 13</v>
      </c>
      <c r="D259" s="2">
        <f>IFERROR(__xludf.DUMMYFUNCTION("""COMPUTED_VALUE"""),16.0)</f>
        <v>16</v>
      </c>
      <c r="E259" s="2" t="str">
        <f>IFERROR(__xludf.DUMMYFUNCTION("""COMPUTED_VALUE"""),"Herrelag")</f>
        <v>Herrelag</v>
      </c>
    </row>
    <row r="260" ht="15.75" customHeight="1">
      <c r="A260" s="18">
        <f>IFERROR(__xludf.DUMMYFUNCTION("""COMPUTED_VALUE"""),45857.523869641205)</f>
        <v>45857.52387</v>
      </c>
      <c r="B260" s="2" t="str">
        <f>IFERROR(__xludf.DUMMYFUNCTION("""COMPUTED_VALUE"""),"Post 6")</f>
        <v>Post 6</v>
      </c>
      <c r="C260" s="2" t="str">
        <f>IFERROR(__xludf.DUMMYFUNCTION("""COMPUTED_VALUE"""),"LAG 78")</f>
        <v>LAG 78</v>
      </c>
      <c r="D260" s="2">
        <f>IFERROR(__xludf.DUMMYFUNCTION("""COMPUTED_VALUE"""),16.0)</f>
        <v>16</v>
      </c>
      <c r="E260" s="2" t="str">
        <f>IFERROR(__xludf.DUMMYFUNCTION("""COMPUTED_VALUE"""),"Damelag")</f>
        <v>Damelag</v>
      </c>
    </row>
    <row r="261" ht="15.75" customHeight="1">
      <c r="A261" s="18">
        <f>IFERROR(__xludf.DUMMYFUNCTION("""COMPUTED_VALUE"""),45857.52410945602)</f>
        <v>45857.52411</v>
      </c>
      <c r="B261" s="2" t="str">
        <f>IFERROR(__xludf.DUMMYFUNCTION("""COMPUTED_VALUE"""),"Post 10")</f>
        <v>Post 10</v>
      </c>
      <c r="C261" s="2" t="str">
        <f>IFERROR(__xludf.DUMMYFUNCTION("""COMPUTED_VALUE"""),"LAG 26")</f>
        <v>LAG 26</v>
      </c>
      <c r="D261" s="2">
        <f>IFERROR(__xludf.DUMMYFUNCTION("""COMPUTED_VALUE"""),10.0)</f>
        <v>10</v>
      </c>
      <c r="E261" s="2" t="str">
        <f>IFERROR(__xludf.DUMMYFUNCTION("""COMPUTED_VALUE"""),"Damelag")</f>
        <v>Damelag</v>
      </c>
    </row>
    <row r="262" ht="15.75" customHeight="1">
      <c r="A262" s="18">
        <f>IFERROR(__xludf.DUMMYFUNCTION("""COMPUTED_VALUE"""),45857.524123449075)</f>
        <v>45857.52412</v>
      </c>
      <c r="B262" s="2" t="str">
        <f>IFERROR(__xludf.DUMMYFUNCTION("""COMPUTED_VALUE"""),"Post 5")</f>
        <v>Post 5</v>
      </c>
      <c r="C262" s="2" t="str">
        <f>IFERROR(__xludf.DUMMYFUNCTION("""COMPUTED_VALUE"""),"LAG 38")</f>
        <v>LAG 38</v>
      </c>
      <c r="D262" s="2">
        <f>IFERROR(__xludf.DUMMYFUNCTION("""COMPUTED_VALUE"""),10.0)</f>
        <v>10</v>
      </c>
      <c r="E262" s="2" t="str">
        <f>IFERROR(__xludf.DUMMYFUNCTION("""COMPUTED_VALUE"""),"Damelag")</f>
        <v>Damelag</v>
      </c>
    </row>
    <row r="263" ht="15.75" customHeight="1">
      <c r="A263" s="18">
        <f>IFERROR(__xludf.DUMMYFUNCTION("""COMPUTED_VALUE"""),45857.524213807876)</f>
        <v>45857.52421</v>
      </c>
      <c r="B263" s="2" t="str">
        <f>IFERROR(__xludf.DUMMYFUNCTION("""COMPUTED_VALUE"""),"Post 15")</f>
        <v>Post 15</v>
      </c>
      <c r="C263" s="2" t="str">
        <f>IFERROR(__xludf.DUMMYFUNCTION("""COMPUTED_VALUE"""),"LAG 3")</f>
        <v>LAG 3</v>
      </c>
      <c r="D263" s="2">
        <f>IFERROR(__xludf.DUMMYFUNCTION("""COMPUTED_VALUE"""),20.0)</f>
        <v>20</v>
      </c>
      <c r="E263" s="2" t="str">
        <f>IFERROR(__xludf.DUMMYFUNCTION("""COMPUTED_VALUE"""),"Damelag")</f>
        <v>Damelag</v>
      </c>
    </row>
    <row r="264" ht="15.75" customHeight="1">
      <c r="A264" s="18">
        <f>IFERROR(__xludf.DUMMYFUNCTION("""COMPUTED_VALUE"""),45857.52454604166)</f>
        <v>45857.52455</v>
      </c>
      <c r="B264" s="2" t="str">
        <f>IFERROR(__xludf.DUMMYFUNCTION("""COMPUTED_VALUE"""),"Post 5")</f>
        <v>Post 5</v>
      </c>
      <c r="C264" s="2" t="str">
        <f>IFERROR(__xludf.DUMMYFUNCTION("""COMPUTED_VALUE"""),"LAG 9")</f>
        <v>LAG 9</v>
      </c>
      <c r="D264" s="2">
        <f>IFERROR(__xludf.DUMMYFUNCTION("""COMPUTED_VALUE"""),10.0)</f>
        <v>10</v>
      </c>
      <c r="E264" s="2" t="str">
        <f>IFERROR(__xludf.DUMMYFUNCTION("""COMPUTED_VALUE"""),"Herrelag")</f>
        <v>Herrelag</v>
      </c>
    </row>
    <row r="265" ht="15.75" customHeight="1">
      <c r="A265" s="18">
        <f>IFERROR(__xludf.DUMMYFUNCTION("""COMPUTED_VALUE"""),45857.52469391204)</f>
        <v>45857.52469</v>
      </c>
      <c r="B265" s="2" t="str">
        <f>IFERROR(__xludf.DUMMYFUNCTION("""COMPUTED_VALUE"""),"Post 1")</f>
        <v>Post 1</v>
      </c>
      <c r="C265" s="2" t="str">
        <f>IFERROR(__xludf.DUMMYFUNCTION("""COMPUTED_VALUE"""),"LAG 22")</f>
        <v>LAG 22</v>
      </c>
      <c r="D265" s="2">
        <f>IFERROR(__xludf.DUMMYFUNCTION("""COMPUTED_VALUE"""),0.0)</f>
        <v>0</v>
      </c>
      <c r="E265" s="2" t="str">
        <f>IFERROR(__xludf.DUMMYFUNCTION("""COMPUTED_VALUE"""),"Damelag")</f>
        <v>Damelag</v>
      </c>
    </row>
    <row r="266" ht="15.75" customHeight="1">
      <c r="A266" s="18">
        <f>IFERROR(__xludf.DUMMYFUNCTION("""COMPUTED_VALUE"""),45857.524750069446)</f>
        <v>45857.52475</v>
      </c>
      <c r="B266" s="2" t="str">
        <f>IFERROR(__xludf.DUMMYFUNCTION("""COMPUTED_VALUE"""),"Post 5")</f>
        <v>Post 5</v>
      </c>
      <c r="C266" s="2" t="str">
        <f>IFERROR(__xludf.DUMMYFUNCTION("""COMPUTED_VALUE"""),"LAG 81")</f>
        <v>LAG 81</v>
      </c>
      <c r="D266" s="2">
        <f>IFERROR(__xludf.DUMMYFUNCTION("""COMPUTED_VALUE"""),10.0)</f>
        <v>10</v>
      </c>
      <c r="E266" s="2" t="str">
        <f>IFERROR(__xludf.DUMMYFUNCTION("""COMPUTED_VALUE"""),"Herrelag")</f>
        <v>Herrelag</v>
      </c>
    </row>
    <row r="267" ht="15.75" customHeight="1">
      <c r="A267" s="18">
        <f>IFERROR(__xludf.DUMMYFUNCTION("""COMPUTED_VALUE"""),45857.52494282408)</f>
        <v>45857.52494</v>
      </c>
      <c r="B267" s="2" t="str">
        <f>IFERROR(__xludf.DUMMYFUNCTION("""COMPUTED_VALUE"""),"Post 8")</f>
        <v>Post 8</v>
      </c>
      <c r="C267" s="2" t="str">
        <f>IFERROR(__xludf.DUMMYFUNCTION("""COMPUTED_VALUE"""),"LAG 77")</f>
        <v>LAG 77</v>
      </c>
      <c r="D267" s="2">
        <f>IFERROR(__xludf.DUMMYFUNCTION("""COMPUTED_VALUE"""),6.0)</f>
        <v>6</v>
      </c>
      <c r="E267" s="2" t="str">
        <f>IFERROR(__xludf.DUMMYFUNCTION("""COMPUTED_VALUE"""),"Mixlag")</f>
        <v>Mixlag</v>
      </c>
    </row>
    <row r="268" ht="15.75" customHeight="1">
      <c r="A268" s="18">
        <f>IFERROR(__xludf.DUMMYFUNCTION("""COMPUTED_VALUE"""),45857.525012812504)</f>
        <v>45857.52501</v>
      </c>
      <c r="B268" s="2" t="str">
        <f>IFERROR(__xludf.DUMMYFUNCTION("""COMPUTED_VALUE"""),"Post 3")</f>
        <v>Post 3</v>
      </c>
      <c r="C268" s="2" t="str">
        <f>IFERROR(__xludf.DUMMYFUNCTION("""COMPUTED_VALUE"""),"LAG 14")</f>
        <v>LAG 14</v>
      </c>
      <c r="D268" s="2">
        <f>IFERROR(__xludf.DUMMYFUNCTION("""COMPUTED_VALUE"""),14.0)</f>
        <v>14</v>
      </c>
      <c r="E268" s="2" t="str">
        <f>IFERROR(__xludf.DUMMYFUNCTION("""COMPUTED_VALUE"""),"Mixlag")</f>
        <v>Mixlag</v>
      </c>
    </row>
    <row r="269" ht="15.75" customHeight="1">
      <c r="A269" s="18">
        <f>IFERROR(__xludf.DUMMYFUNCTION("""COMPUTED_VALUE"""),45857.525016921296)</f>
        <v>45857.52502</v>
      </c>
      <c r="B269" s="2" t="str">
        <f>IFERROR(__xludf.DUMMYFUNCTION("""COMPUTED_VALUE"""),"Post 18")</f>
        <v>Post 18</v>
      </c>
      <c r="C269" s="2" t="str">
        <f>IFERROR(__xludf.DUMMYFUNCTION("""COMPUTED_VALUE"""),"LAG 66")</f>
        <v>LAG 66</v>
      </c>
      <c r="D269" s="2">
        <f>IFERROR(__xludf.DUMMYFUNCTION("""COMPUTED_VALUE"""),6.0)</f>
        <v>6</v>
      </c>
      <c r="E269" s="2" t="str">
        <f>IFERROR(__xludf.DUMMYFUNCTION("""COMPUTED_VALUE"""),"Damelag")</f>
        <v>Damelag</v>
      </c>
    </row>
    <row r="270" ht="15.75" customHeight="1">
      <c r="A270" s="18">
        <f>IFERROR(__xludf.DUMMYFUNCTION("""COMPUTED_VALUE"""),45857.525107650465)</f>
        <v>45857.52511</v>
      </c>
      <c r="B270" s="2" t="str">
        <f>IFERROR(__xludf.DUMMYFUNCTION("""COMPUTED_VALUE"""),"Post 4")</f>
        <v>Post 4</v>
      </c>
      <c r="C270" s="2" t="str">
        <f>IFERROR(__xludf.DUMMYFUNCTION("""COMPUTED_VALUE"""),"LAG 62")</f>
        <v>LAG 62</v>
      </c>
      <c r="D270" s="2">
        <f>IFERROR(__xludf.DUMMYFUNCTION("""COMPUTED_VALUE"""),10.0)</f>
        <v>10</v>
      </c>
      <c r="E270" s="2" t="str">
        <f>IFERROR(__xludf.DUMMYFUNCTION("""COMPUTED_VALUE"""),"Mixlag")</f>
        <v>Mixlag</v>
      </c>
    </row>
    <row r="271" ht="15.75" customHeight="1">
      <c r="A271" s="18">
        <f>IFERROR(__xludf.DUMMYFUNCTION("""COMPUTED_VALUE"""),45857.52516672453)</f>
        <v>45857.52517</v>
      </c>
      <c r="B271" s="2" t="str">
        <f>IFERROR(__xludf.DUMMYFUNCTION("""COMPUTED_VALUE"""),"Post 1")</f>
        <v>Post 1</v>
      </c>
      <c r="C271" s="2" t="str">
        <f>IFERROR(__xludf.DUMMYFUNCTION("""COMPUTED_VALUE"""),"LAG 2")</f>
        <v>LAG 2</v>
      </c>
      <c r="D271" s="2">
        <f>IFERROR(__xludf.DUMMYFUNCTION("""COMPUTED_VALUE"""),20.0)</f>
        <v>20</v>
      </c>
      <c r="E271" s="2" t="str">
        <f>IFERROR(__xludf.DUMMYFUNCTION("""COMPUTED_VALUE"""),"Damelag")</f>
        <v>Damelag</v>
      </c>
    </row>
    <row r="272" ht="15.75" customHeight="1">
      <c r="A272" s="18">
        <f>IFERROR(__xludf.DUMMYFUNCTION("""COMPUTED_VALUE"""),45857.525237256945)</f>
        <v>45857.52524</v>
      </c>
      <c r="B272" s="2" t="str">
        <f>IFERROR(__xludf.DUMMYFUNCTION("""COMPUTED_VALUE"""),"Post 9")</f>
        <v>Post 9</v>
      </c>
      <c r="C272" s="2" t="str">
        <f>IFERROR(__xludf.DUMMYFUNCTION("""COMPUTED_VALUE"""),"LAG 49")</f>
        <v>LAG 49</v>
      </c>
      <c r="D272" s="2">
        <f>IFERROR(__xludf.DUMMYFUNCTION("""COMPUTED_VALUE"""),26.0)</f>
        <v>26</v>
      </c>
      <c r="E272" s="2" t="str">
        <f>IFERROR(__xludf.DUMMYFUNCTION("""COMPUTED_VALUE"""),"Damelag")</f>
        <v>Damelag</v>
      </c>
    </row>
    <row r="273" ht="15.75" customHeight="1">
      <c r="A273" s="18">
        <f>IFERROR(__xludf.DUMMYFUNCTION("""COMPUTED_VALUE"""),45857.52544601852)</f>
        <v>45857.52545</v>
      </c>
      <c r="B273" s="2" t="str">
        <f>IFERROR(__xludf.DUMMYFUNCTION("""COMPUTED_VALUE"""),"Post 15")</f>
        <v>Post 15</v>
      </c>
      <c r="C273" s="2" t="str">
        <f>IFERROR(__xludf.DUMMYFUNCTION("""COMPUTED_VALUE"""),"LAG 5")</f>
        <v>LAG 5</v>
      </c>
      <c r="D273" s="2">
        <f>IFERROR(__xludf.DUMMYFUNCTION("""COMPUTED_VALUE"""),20.0)</f>
        <v>20</v>
      </c>
      <c r="E273" s="2" t="str">
        <f>IFERROR(__xludf.DUMMYFUNCTION("""COMPUTED_VALUE"""),"Mixlag")</f>
        <v>Mixlag</v>
      </c>
    </row>
    <row r="274" ht="15.75" customHeight="1">
      <c r="A274" s="18">
        <f>IFERROR(__xludf.DUMMYFUNCTION("""COMPUTED_VALUE"""),45857.52547741898)</f>
        <v>45857.52548</v>
      </c>
      <c r="B274" s="2" t="str">
        <f>IFERROR(__xludf.DUMMYFUNCTION("""COMPUTED_VALUE"""),"Post 6")</f>
        <v>Post 6</v>
      </c>
      <c r="C274" s="2" t="str">
        <f>IFERROR(__xludf.DUMMYFUNCTION("""COMPUTED_VALUE"""),"LAG 51")</f>
        <v>LAG 51</v>
      </c>
      <c r="D274" s="2">
        <f>IFERROR(__xludf.DUMMYFUNCTION("""COMPUTED_VALUE"""),20.0)</f>
        <v>20</v>
      </c>
      <c r="E274" s="2" t="str">
        <f>IFERROR(__xludf.DUMMYFUNCTION("""COMPUTED_VALUE"""),"Mixlag")</f>
        <v>Mixlag</v>
      </c>
    </row>
    <row r="275" ht="15.75" customHeight="1">
      <c r="A275" s="18">
        <f>IFERROR(__xludf.DUMMYFUNCTION("""COMPUTED_VALUE"""),45857.52580679399)</f>
        <v>45857.52581</v>
      </c>
      <c r="B275" s="2" t="str">
        <f>IFERROR(__xludf.DUMMYFUNCTION("""COMPUTED_VALUE"""),"Post 10")</f>
        <v>Post 10</v>
      </c>
      <c r="C275" s="2" t="str">
        <f>IFERROR(__xludf.DUMMYFUNCTION("""COMPUTED_VALUE"""),"LAG 1")</f>
        <v>LAG 1</v>
      </c>
      <c r="D275" s="2">
        <f>IFERROR(__xludf.DUMMYFUNCTION("""COMPUTED_VALUE"""),12.0)</f>
        <v>12</v>
      </c>
      <c r="E275" s="2" t="str">
        <f>IFERROR(__xludf.DUMMYFUNCTION("""COMPUTED_VALUE"""),"Damelag")</f>
        <v>Damelag</v>
      </c>
    </row>
    <row r="276" ht="15.75" customHeight="1">
      <c r="A276" s="18">
        <f>IFERROR(__xludf.DUMMYFUNCTION("""COMPUTED_VALUE"""),45857.52583103009)</f>
        <v>45857.52583</v>
      </c>
      <c r="B276" s="2" t="str">
        <f>IFERROR(__xludf.DUMMYFUNCTION("""COMPUTED_VALUE"""),"Post 1")</f>
        <v>Post 1</v>
      </c>
      <c r="C276" s="2" t="str">
        <f>IFERROR(__xludf.DUMMYFUNCTION("""COMPUTED_VALUE"""),"LAG 79")</f>
        <v>LAG 79</v>
      </c>
      <c r="D276" s="2">
        <f>IFERROR(__xludf.DUMMYFUNCTION("""COMPUTED_VALUE"""),16.0)</f>
        <v>16</v>
      </c>
      <c r="E276" s="2" t="str">
        <f>IFERROR(__xludf.DUMMYFUNCTION("""COMPUTED_VALUE"""),"Herrelag")</f>
        <v>Herrelag</v>
      </c>
    </row>
    <row r="277" ht="15.75" customHeight="1">
      <c r="A277" s="18">
        <f>IFERROR(__xludf.DUMMYFUNCTION("""COMPUTED_VALUE"""),45857.52634586806)</f>
        <v>45857.52635</v>
      </c>
      <c r="B277" s="2" t="str">
        <f>IFERROR(__xludf.DUMMYFUNCTION("""COMPUTED_VALUE"""),"Post 15")</f>
        <v>Post 15</v>
      </c>
      <c r="C277" s="2" t="str">
        <f>IFERROR(__xludf.DUMMYFUNCTION("""COMPUTED_VALUE"""),"LAG 42")</f>
        <v>LAG 42</v>
      </c>
      <c r="D277" s="2">
        <f>IFERROR(__xludf.DUMMYFUNCTION("""COMPUTED_VALUE"""),5.0)</f>
        <v>5</v>
      </c>
      <c r="E277" s="2" t="str">
        <f>IFERROR(__xludf.DUMMYFUNCTION("""COMPUTED_VALUE"""),"Damelag")</f>
        <v>Damelag</v>
      </c>
    </row>
    <row r="278" ht="15.75" customHeight="1">
      <c r="A278" s="18">
        <f>IFERROR(__xludf.DUMMYFUNCTION("""COMPUTED_VALUE"""),45857.526392037034)</f>
        <v>45857.52639</v>
      </c>
      <c r="B278" s="2" t="str">
        <f>IFERROR(__xludf.DUMMYFUNCTION("""COMPUTED_VALUE"""),"Post 4")</f>
        <v>Post 4</v>
      </c>
      <c r="C278" s="2" t="str">
        <f>IFERROR(__xludf.DUMMYFUNCTION("""COMPUTED_VALUE"""),"LAG 78")</f>
        <v>LAG 78</v>
      </c>
      <c r="D278" s="2">
        <f>IFERROR(__xludf.DUMMYFUNCTION("""COMPUTED_VALUE"""),15.0)</f>
        <v>15</v>
      </c>
      <c r="E278" s="2" t="str">
        <f>IFERROR(__xludf.DUMMYFUNCTION("""COMPUTED_VALUE"""),"Damelag")</f>
        <v>Damelag</v>
      </c>
    </row>
    <row r="279" ht="15.75" customHeight="1">
      <c r="A279" s="18">
        <f>IFERROR(__xludf.DUMMYFUNCTION("""COMPUTED_VALUE"""),45857.52643582176)</f>
        <v>45857.52644</v>
      </c>
      <c r="B279" s="2" t="str">
        <f>IFERROR(__xludf.DUMMYFUNCTION("""COMPUTED_VALUE"""),"Post 6")</f>
        <v>Post 6</v>
      </c>
      <c r="C279" s="2" t="str">
        <f>IFERROR(__xludf.DUMMYFUNCTION("""COMPUTED_VALUE"""),"LAG 71")</f>
        <v>LAG 71</v>
      </c>
      <c r="D279" s="2">
        <f>IFERROR(__xludf.DUMMYFUNCTION("""COMPUTED_VALUE"""),20.0)</f>
        <v>20</v>
      </c>
      <c r="E279" s="2" t="str">
        <f>IFERROR(__xludf.DUMMYFUNCTION("""COMPUTED_VALUE"""),"Mixlag")</f>
        <v>Mixlag</v>
      </c>
    </row>
    <row r="280" ht="15.75" customHeight="1">
      <c r="A280" s="18">
        <f>IFERROR(__xludf.DUMMYFUNCTION("""COMPUTED_VALUE"""),45857.52646670138)</f>
        <v>45857.52647</v>
      </c>
      <c r="B280" s="2" t="str">
        <f>IFERROR(__xludf.DUMMYFUNCTION("""COMPUTED_VALUE"""),"Post 10")</f>
        <v>Post 10</v>
      </c>
      <c r="C280" s="2" t="str">
        <f>IFERROR(__xludf.DUMMYFUNCTION("""COMPUTED_VALUE"""),"LAG 39")</f>
        <v>LAG 39</v>
      </c>
      <c r="D280" s="2">
        <f>IFERROR(__xludf.DUMMYFUNCTION("""COMPUTED_VALUE"""),15.0)</f>
        <v>15</v>
      </c>
      <c r="E280" s="2" t="str">
        <f>IFERROR(__xludf.DUMMYFUNCTION("""COMPUTED_VALUE"""),"Herrelag")</f>
        <v>Herrelag</v>
      </c>
    </row>
    <row r="281" ht="15.75" customHeight="1">
      <c r="A281" s="18">
        <f>IFERROR(__xludf.DUMMYFUNCTION("""COMPUTED_VALUE"""),45857.52708515046)</f>
        <v>45857.52709</v>
      </c>
      <c r="B281" s="2" t="str">
        <f>IFERROR(__xludf.DUMMYFUNCTION("""COMPUTED_VALUE"""),"Post 3")</f>
        <v>Post 3</v>
      </c>
      <c r="C281" s="2" t="str">
        <f>IFERROR(__xludf.DUMMYFUNCTION("""COMPUTED_VALUE"""),"LAG 17")</f>
        <v>LAG 17</v>
      </c>
      <c r="D281" s="2">
        <f>IFERROR(__xludf.DUMMYFUNCTION("""COMPUTED_VALUE"""),16.0)</f>
        <v>16</v>
      </c>
      <c r="E281" s="2" t="str">
        <f>IFERROR(__xludf.DUMMYFUNCTION("""COMPUTED_VALUE"""),"Damelag")</f>
        <v>Damelag</v>
      </c>
    </row>
    <row r="282" ht="15.75" customHeight="1">
      <c r="A282" s="18">
        <f>IFERROR(__xludf.DUMMYFUNCTION("""COMPUTED_VALUE"""),45857.52761369213)</f>
        <v>45857.52761</v>
      </c>
      <c r="B282" s="2" t="str">
        <f>IFERROR(__xludf.DUMMYFUNCTION("""COMPUTED_VALUE"""),"Post 18")</f>
        <v>Post 18</v>
      </c>
      <c r="C282" s="2" t="str">
        <f>IFERROR(__xludf.DUMMYFUNCTION("""COMPUTED_VALUE"""),"LAG 3")</f>
        <v>LAG 3</v>
      </c>
      <c r="D282" s="2">
        <f>IFERROR(__xludf.DUMMYFUNCTION("""COMPUTED_VALUE"""),12.0)</f>
        <v>12</v>
      </c>
      <c r="E282" s="2" t="str">
        <f>IFERROR(__xludf.DUMMYFUNCTION("""COMPUTED_VALUE"""),"Damelag")</f>
        <v>Damelag</v>
      </c>
    </row>
    <row r="283" ht="15.75" customHeight="1">
      <c r="A283" s="18">
        <f>IFERROR(__xludf.DUMMYFUNCTION("""COMPUTED_VALUE"""),45857.52775833334)</f>
        <v>45857.52776</v>
      </c>
      <c r="B283" s="2" t="str">
        <f>IFERROR(__xludf.DUMMYFUNCTION("""COMPUTED_VALUE"""),"Post 12")</f>
        <v>Post 12</v>
      </c>
      <c r="C283" s="2" t="str">
        <f>IFERROR(__xludf.DUMMYFUNCTION("""COMPUTED_VALUE"""),"LAG 9")</f>
        <v>LAG 9</v>
      </c>
      <c r="D283" s="2">
        <f>IFERROR(__xludf.DUMMYFUNCTION("""COMPUTED_VALUE"""),9.0)</f>
        <v>9</v>
      </c>
      <c r="E283" s="2" t="str">
        <f>IFERROR(__xludf.DUMMYFUNCTION("""COMPUTED_VALUE"""),"Herrelag")</f>
        <v>Herrelag</v>
      </c>
    </row>
    <row r="284" ht="15.75" customHeight="1">
      <c r="A284" s="18">
        <f>IFERROR(__xludf.DUMMYFUNCTION("""COMPUTED_VALUE"""),45857.52792217593)</f>
        <v>45857.52792</v>
      </c>
      <c r="B284" s="2" t="str">
        <f>IFERROR(__xludf.DUMMYFUNCTION("""COMPUTED_VALUE"""),"Post 8")</f>
        <v>Post 8</v>
      </c>
      <c r="C284" s="2" t="str">
        <f>IFERROR(__xludf.DUMMYFUNCTION("""COMPUTED_VALUE"""),"LAG 53")</f>
        <v>LAG 53</v>
      </c>
      <c r="D284" s="2">
        <f>IFERROR(__xludf.DUMMYFUNCTION("""COMPUTED_VALUE"""),11.0)</f>
        <v>11</v>
      </c>
      <c r="E284" s="2" t="str">
        <f>IFERROR(__xludf.DUMMYFUNCTION("""COMPUTED_VALUE"""),"Damelag")</f>
        <v>Damelag</v>
      </c>
    </row>
    <row r="285" ht="15.75" customHeight="1">
      <c r="A285" s="18">
        <f>IFERROR(__xludf.DUMMYFUNCTION("""COMPUTED_VALUE"""),45857.528039756944)</f>
        <v>45857.52804</v>
      </c>
      <c r="B285" s="2" t="str">
        <f>IFERROR(__xludf.DUMMYFUNCTION("""COMPUTED_VALUE"""),"Post 12")</f>
        <v>Post 12</v>
      </c>
      <c r="C285" s="2" t="str">
        <f>IFERROR(__xludf.DUMMYFUNCTION("""COMPUTED_VALUE"""),"LAG 6")</f>
        <v>LAG 6</v>
      </c>
      <c r="D285" s="2">
        <f>IFERROR(__xludf.DUMMYFUNCTION("""COMPUTED_VALUE"""),12.0)</f>
        <v>12</v>
      </c>
      <c r="E285" s="2" t="str">
        <f>IFERROR(__xludf.DUMMYFUNCTION("""COMPUTED_VALUE"""),"Mixlag")</f>
        <v>Mixlag</v>
      </c>
    </row>
    <row r="286" ht="15.75" customHeight="1">
      <c r="A286" s="18">
        <f>IFERROR(__xludf.DUMMYFUNCTION("""COMPUTED_VALUE"""),45857.52837266204)</f>
        <v>45857.52837</v>
      </c>
      <c r="B286" s="2" t="str">
        <f>IFERROR(__xludf.DUMMYFUNCTION("""COMPUTED_VALUE"""),"Post 10")</f>
        <v>Post 10</v>
      </c>
      <c r="C286" s="2" t="str">
        <f>IFERROR(__xludf.DUMMYFUNCTION("""COMPUTED_VALUE"""),"LAG 76")</f>
        <v>LAG 76</v>
      </c>
      <c r="D286" s="2">
        <f>IFERROR(__xludf.DUMMYFUNCTION("""COMPUTED_VALUE"""),15.0)</f>
        <v>15</v>
      </c>
      <c r="E286" s="2" t="str">
        <f>IFERROR(__xludf.DUMMYFUNCTION("""COMPUTED_VALUE"""),"Mixlag")</f>
        <v>Mixlag</v>
      </c>
    </row>
    <row r="287" ht="15.75" customHeight="1">
      <c r="A287" s="18">
        <f>IFERROR(__xludf.DUMMYFUNCTION("""COMPUTED_VALUE"""),45857.5289869213)</f>
        <v>45857.52899</v>
      </c>
      <c r="B287" s="2" t="str">
        <f>IFERROR(__xludf.DUMMYFUNCTION("""COMPUTED_VALUE"""),"Post 1")</f>
        <v>Post 1</v>
      </c>
      <c r="C287" s="2" t="str">
        <f>IFERROR(__xludf.DUMMYFUNCTION("""COMPUTED_VALUE"""),"LAG 36")</f>
        <v>LAG 36</v>
      </c>
      <c r="D287" s="2">
        <f>IFERROR(__xludf.DUMMYFUNCTION("""COMPUTED_VALUE"""),8.0)</f>
        <v>8</v>
      </c>
      <c r="E287" s="2" t="str">
        <f>IFERROR(__xludf.DUMMYFUNCTION("""COMPUTED_VALUE"""),"Herrelag")</f>
        <v>Herrelag</v>
      </c>
    </row>
    <row r="288" ht="15.75" customHeight="1">
      <c r="A288" s="18">
        <f>IFERROR(__xludf.DUMMYFUNCTION("""COMPUTED_VALUE"""),45857.52920283565)</f>
        <v>45857.5292</v>
      </c>
      <c r="B288" s="2" t="str">
        <f>IFERROR(__xludf.DUMMYFUNCTION("""COMPUTED_VALUE"""),"Post 13")</f>
        <v>Post 13</v>
      </c>
      <c r="C288" s="2" t="str">
        <f>IFERROR(__xludf.DUMMYFUNCTION("""COMPUTED_VALUE"""),"LAG 11")</f>
        <v>LAG 11</v>
      </c>
      <c r="D288" s="2">
        <f>IFERROR(__xludf.DUMMYFUNCTION("""COMPUTED_VALUE"""),5.0)</f>
        <v>5</v>
      </c>
      <c r="E288" s="2" t="str">
        <f>IFERROR(__xludf.DUMMYFUNCTION("""COMPUTED_VALUE"""),"Damelag")</f>
        <v>Damelag</v>
      </c>
    </row>
    <row r="289" ht="15.75" customHeight="1">
      <c r="A289" s="18">
        <f>IFERROR(__xludf.DUMMYFUNCTION("""COMPUTED_VALUE"""),45857.52934673611)</f>
        <v>45857.52935</v>
      </c>
      <c r="B289" s="2" t="str">
        <f>IFERROR(__xludf.DUMMYFUNCTION("""COMPUTED_VALUE"""),"Post 20")</f>
        <v>Post 20</v>
      </c>
      <c r="C289" s="2" t="str">
        <f>IFERROR(__xludf.DUMMYFUNCTION("""COMPUTED_VALUE"""),"LAG 5")</f>
        <v>LAG 5</v>
      </c>
      <c r="D289" s="2">
        <f>IFERROR(__xludf.DUMMYFUNCTION("""COMPUTED_VALUE"""),20.0)</f>
        <v>20</v>
      </c>
      <c r="E289" s="2" t="str">
        <f>IFERROR(__xludf.DUMMYFUNCTION("""COMPUTED_VALUE"""),"Mixlag")</f>
        <v>Mixlag</v>
      </c>
    </row>
    <row r="290" ht="15.75" customHeight="1">
      <c r="A290" s="18">
        <f>IFERROR(__xludf.DUMMYFUNCTION("""COMPUTED_VALUE"""),45857.529441238425)</f>
        <v>45857.52944</v>
      </c>
      <c r="B290" s="2" t="str">
        <f>IFERROR(__xludf.DUMMYFUNCTION("""COMPUTED_VALUE"""),"Post 6")</f>
        <v>Post 6</v>
      </c>
      <c r="C290" s="2" t="str">
        <f>IFERROR(__xludf.DUMMYFUNCTION("""COMPUTED_VALUE"""),"LAG 31")</f>
        <v>LAG 31</v>
      </c>
      <c r="D290" s="2">
        <f>IFERROR(__xludf.DUMMYFUNCTION("""COMPUTED_VALUE"""),20.0)</f>
        <v>20</v>
      </c>
      <c r="E290" s="2" t="str">
        <f>IFERROR(__xludf.DUMMYFUNCTION("""COMPUTED_VALUE"""),"Mixlag")</f>
        <v>Mixlag</v>
      </c>
    </row>
    <row r="291" ht="15.75" customHeight="1">
      <c r="A291" s="18">
        <f>IFERROR(__xludf.DUMMYFUNCTION("""COMPUTED_VALUE"""),45857.52946820602)</f>
        <v>45857.52947</v>
      </c>
      <c r="B291" s="2" t="str">
        <f>IFERROR(__xludf.DUMMYFUNCTION("""COMPUTED_VALUE"""),"Post 13")</f>
        <v>Post 13</v>
      </c>
      <c r="C291" s="2" t="str">
        <f>IFERROR(__xludf.DUMMYFUNCTION("""COMPUTED_VALUE"""),"LAG 48")</f>
        <v>LAG 48</v>
      </c>
      <c r="D291" s="2">
        <f>IFERROR(__xludf.DUMMYFUNCTION("""COMPUTED_VALUE"""),25.0)</f>
        <v>25</v>
      </c>
      <c r="E291" s="2" t="str">
        <f>IFERROR(__xludf.DUMMYFUNCTION("""COMPUTED_VALUE"""),"Damelag")</f>
        <v>Damelag</v>
      </c>
    </row>
    <row r="292" ht="15.75" customHeight="1">
      <c r="A292" s="18">
        <f>IFERROR(__xludf.DUMMYFUNCTION("""COMPUTED_VALUE"""),45857.529507280095)</f>
        <v>45857.52951</v>
      </c>
      <c r="B292" s="2" t="str">
        <f>IFERROR(__xludf.DUMMYFUNCTION("""COMPUTED_VALUE"""),"Post 10")</f>
        <v>Post 10</v>
      </c>
      <c r="C292" s="2" t="str">
        <f>IFERROR(__xludf.DUMMYFUNCTION("""COMPUTED_VALUE"""),"LAG 35")</f>
        <v>LAG 35</v>
      </c>
      <c r="D292" s="2">
        <f>IFERROR(__xludf.DUMMYFUNCTION("""COMPUTED_VALUE"""),15.0)</f>
        <v>15</v>
      </c>
      <c r="E292" s="2" t="str">
        <f>IFERROR(__xludf.DUMMYFUNCTION("""COMPUTED_VALUE"""),"Damelag")</f>
        <v>Damelag</v>
      </c>
    </row>
    <row r="293" ht="15.75" customHeight="1">
      <c r="A293" s="18">
        <f>IFERROR(__xludf.DUMMYFUNCTION("""COMPUTED_VALUE"""),45857.529574016204)</f>
        <v>45857.52957</v>
      </c>
      <c r="B293" s="2" t="str">
        <f>IFERROR(__xludf.DUMMYFUNCTION("""COMPUTED_VALUE"""),"Post 18")</f>
        <v>Post 18</v>
      </c>
      <c r="C293" s="2" t="str">
        <f>IFERROR(__xludf.DUMMYFUNCTION("""COMPUTED_VALUE"""),"LAG 9")</f>
        <v>LAG 9</v>
      </c>
      <c r="D293" s="2">
        <f>IFERROR(__xludf.DUMMYFUNCTION("""COMPUTED_VALUE"""),9.0)</f>
        <v>9</v>
      </c>
      <c r="E293" s="2" t="str">
        <f>IFERROR(__xludf.DUMMYFUNCTION("""COMPUTED_VALUE"""),"Herrelag")</f>
        <v>Herrelag</v>
      </c>
    </row>
    <row r="294" ht="15.75" customHeight="1">
      <c r="A294" s="18">
        <f>IFERROR(__xludf.DUMMYFUNCTION("""COMPUTED_VALUE"""),45857.52964305556)</f>
        <v>45857.52964</v>
      </c>
      <c r="B294" s="2" t="str">
        <f>IFERROR(__xludf.DUMMYFUNCTION("""COMPUTED_VALUE"""),"Post 6")</f>
        <v>Post 6</v>
      </c>
      <c r="C294" s="2" t="str">
        <f>IFERROR(__xludf.DUMMYFUNCTION("""COMPUTED_VALUE"""),"LAG 12")</f>
        <v>LAG 12</v>
      </c>
      <c r="D294" s="2">
        <f>IFERROR(__xludf.DUMMYFUNCTION("""COMPUTED_VALUE"""),20.0)</f>
        <v>20</v>
      </c>
      <c r="E294" s="2" t="str">
        <f>IFERROR(__xludf.DUMMYFUNCTION("""COMPUTED_VALUE"""),"Damelag")</f>
        <v>Damelag</v>
      </c>
    </row>
    <row r="295" ht="15.75" customHeight="1">
      <c r="A295" s="18">
        <f>IFERROR(__xludf.DUMMYFUNCTION("""COMPUTED_VALUE"""),45857.529678680556)</f>
        <v>45857.52968</v>
      </c>
      <c r="B295" s="2" t="str">
        <f>IFERROR(__xludf.DUMMYFUNCTION("""COMPUTED_VALUE"""),"Post 13")</f>
        <v>Post 13</v>
      </c>
      <c r="C295" s="2" t="str">
        <f>IFERROR(__xludf.DUMMYFUNCTION("""COMPUTED_VALUE"""),"LAG 51")</f>
        <v>LAG 51</v>
      </c>
      <c r="D295" s="2">
        <f>IFERROR(__xludf.DUMMYFUNCTION("""COMPUTED_VALUE"""),25.0)</f>
        <v>25</v>
      </c>
      <c r="E295" s="2" t="str">
        <f>IFERROR(__xludf.DUMMYFUNCTION("""COMPUTED_VALUE"""),"Mixlag")</f>
        <v>Mixlag</v>
      </c>
    </row>
    <row r="296" ht="15.75" customHeight="1">
      <c r="A296" s="18">
        <f>IFERROR(__xludf.DUMMYFUNCTION("""COMPUTED_VALUE"""),45857.52972056713)</f>
        <v>45857.52972</v>
      </c>
      <c r="B296" s="2" t="str">
        <f>IFERROR(__xludf.DUMMYFUNCTION("""COMPUTED_VALUE"""),"Post 20")</f>
        <v>Post 20</v>
      </c>
      <c r="C296" s="2" t="str">
        <f>IFERROR(__xludf.DUMMYFUNCTION("""COMPUTED_VALUE"""),"LAG 14")</f>
        <v>LAG 14</v>
      </c>
      <c r="D296" s="2">
        <f>IFERROR(__xludf.DUMMYFUNCTION("""COMPUTED_VALUE"""),20.0)</f>
        <v>20</v>
      </c>
      <c r="E296" s="2" t="str">
        <f>IFERROR(__xludf.DUMMYFUNCTION("""COMPUTED_VALUE"""),"Mixlag")</f>
        <v>Mixlag</v>
      </c>
    </row>
    <row r="297" ht="15.75" customHeight="1">
      <c r="A297" s="18">
        <f>IFERROR(__xludf.DUMMYFUNCTION("""COMPUTED_VALUE"""),45857.52990119213)</f>
        <v>45857.5299</v>
      </c>
      <c r="B297" s="2" t="str">
        <f>IFERROR(__xludf.DUMMYFUNCTION("""COMPUTED_VALUE"""),"Post 13")</f>
        <v>Post 13</v>
      </c>
      <c r="C297" s="2" t="str">
        <f>IFERROR(__xludf.DUMMYFUNCTION("""COMPUTED_VALUE"""),"LAG 16")</f>
        <v>LAG 16</v>
      </c>
      <c r="D297" s="2">
        <f>IFERROR(__xludf.DUMMYFUNCTION("""COMPUTED_VALUE"""),25.0)</f>
        <v>25</v>
      </c>
      <c r="E297" s="2" t="str">
        <f>IFERROR(__xludf.DUMMYFUNCTION("""COMPUTED_VALUE"""),"Herrelag")</f>
        <v>Herrelag</v>
      </c>
    </row>
    <row r="298" ht="15.75" customHeight="1">
      <c r="A298" s="18">
        <f>IFERROR(__xludf.DUMMYFUNCTION("""COMPUTED_VALUE"""),45857.53003587963)</f>
        <v>45857.53004</v>
      </c>
      <c r="B298" s="2" t="str">
        <f>IFERROR(__xludf.DUMMYFUNCTION("""COMPUTED_VALUE"""),"Post 9")</f>
        <v>Post 9</v>
      </c>
      <c r="C298" s="2" t="str">
        <f>IFERROR(__xludf.DUMMYFUNCTION("""COMPUTED_VALUE"""),"LAG 48")</f>
        <v>LAG 48</v>
      </c>
      <c r="D298" s="2">
        <f>IFERROR(__xludf.DUMMYFUNCTION("""COMPUTED_VALUE"""),25.0)</f>
        <v>25</v>
      </c>
      <c r="E298" s="2" t="str">
        <f>IFERROR(__xludf.DUMMYFUNCTION("""COMPUTED_VALUE"""),"Damelag")</f>
        <v>Damelag</v>
      </c>
    </row>
    <row r="299" ht="15.75" customHeight="1">
      <c r="A299" s="18">
        <f>IFERROR(__xludf.DUMMYFUNCTION("""COMPUTED_VALUE"""),45857.530084872684)</f>
        <v>45857.53008</v>
      </c>
      <c r="B299" s="2" t="str">
        <f>IFERROR(__xludf.DUMMYFUNCTION("""COMPUTED_VALUE"""),"Post 15")</f>
        <v>Post 15</v>
      </c>
      <c r="C299" s="2" t="str">
        <f>IFERROR(__xludf.DUMMYFUNCTION("""COMPUTED_VALUE"""),"LAG 6")</f>
        <v>LAG 6</v>
      </c>
      <c r="D299" s="2">
        <f>IFERROR(__xludf.DUMMYFUNCTION("""COMPUTED_VALUE"""),15.0)</f>
        <v>15</v>
      </c>
      <c r="E299" s="2" t="str">
        <f>IFERROR(__xludf.DUMMYFUNCTION("""COMPUTED_VALUE"""),"Mixlag")</f>
        <v>Mixlag</v>
      </c>
    </row>
    <row r="300" ht="15.75" customHeight="1">
      <c r="A300" s="18">
        <f>IFERROR(__xludf.DUMMYFUNCTION("""COMPUTED_VALUE"""),45857.530235266204)</f>
        <v>45857.53024</v>
      </c>
      <c r="B300" s="2" t="str">
        <f>IFERROR(__xludf.DUMMYFUNCTION("""COMPUTED_VALUE"""),"Post 13")</f>
        <v>Post 13</v>
      </c>
      <c r="C300" s="2" t="str">
        <f>IFERROR(__xludf.DUMMYFUNCTION("""COMPUTED_VALUE"""),"LAG 3")</f>
        <v>LAG 3</v>
      </c>
      <c r="D300" s="2">
        <f>IFERROR(__xludf.DUMMYFUNCTION("""COMPUTED_VALUE"""),25.0)</f>
        <v>25</v>
      </c>
      <c r="E300" s="2" t="str">
        <f>IFERROR(__xludf.DUMMYFUNCTION("""COMPUTED_VALUE"""),"Damelag")</f>
        <v>Damelag</v>
      </c>
    </row>
    <row r="301" ht="15.75" customHeight="1">
      <c r="A301" s="18">
        <f>IFERROR(__xludf.DUMMYFUNCTION("""COMPUTED_VALUE"""),45857.530450011574)</f>
        <v>45857.53045</v>
      </c>
      <c r="B301" s="2" t="str">
        <f>IFERROR(__xludf.DUMMYFUNCTION("""COMPUTED_VALUE"""),"Post 13")</f>
        <v>Post 13</v>
      </c>
      <c r="C301" s="2" t="str">
        <f>IFERROR(__xludf.DUMMYFUNCTION("""COMPUTED_VALUE"""),"LAG 19")</f>
        <v>LAG 19</v>
      </c>
      <c r="D301" s="2">
        <f>IFERROR(__xludf.DUMMYFUNCTION("""COMPUTED_VALUE"""),20.0)</f>
        <v>20</v>
      </c>
      <c r="E301" s="2" t="str">
        <f>IFERROR(__xludf.DUMMYFUNCTION("""COMPUTED_VALUE"""),"Mixlag")</f>
        <v>Mixlag</v>
      </c>
    </row>
    <row r="302" ht="15.75" customHeight="1">
      <c r="A302" s="18">
        <f>IFERROR(__xludf.DUMMYFUNCTION("""COMPUTED_VALUE"""),45857.53061274305)</f>
        <v>45857.53061</v>
      </c>
      <c r="B302" s="2" t="str">
        <f>IFERROR(__xludf.DUMMYFUNCTION("""COMPUTED_VALUE"""),"Post 4")</f>
        <v>Post 4</v>
      </c>
      <c r="C302" s="2" t="str">
        <f>IFERROR(__xludf.DUMMYFUNCTION("""COMPUTED_VALUE"""),"LAG 23")</f>
        <v>LAG 23</v>
      </c>
      <c r="D302" s="2">
        <f>IFERROR(__xludf.DUMMYFUNCTION("""COMPUTED_VALUE"""),15.0)</f>
        <v>15</v>
      </c>
      <c r="E302" s="2" t="str">
        <f>IFERROR(__xludf.DUMMYFUNCTION("""COMPUTED_VALUE"""),"Damelag")</f>
        <v>Damelag</v>
      </c>
    </row>
    <row r="303" ht="15.75" customHeight="1">
      <c r="A303" s="18">
        <f>IFERROR(__xludf.DUMMYFUNCTION("""COMPUTED_VALUE"""),45857.53074445602)</f>
        <v>45857.53074</v>
      </c>
      <c r="B303" s="2" t="str">
        <f>IFERROR(__xludf.DUMMYFUNCTION("""COMPUTED_VALUE"""),"Post 13")</f>
        <v>Post 13</v>
      </c>
      <c r="C303" s="2" t="str">
        <f>IFERROR(__xludf.DUMMYFUNCTION("""COMPUTED_VALUE"""),"LAG 38")</f>
        <v>LAG 38</v>
      </c>
      <c r="D303" s="2">
        <f>IFERROR(__xludf.DUMMYFUNCTION("""COMPUTED_VALUE"""),25.0)</f>
        <v>25</v>
      </c>
      <c r="E303" s="2" t="str">
        <f>IFERROR(__xludf.DUMMYFUNCTION("""COMPUTED_VALUE"""),"Damelag")</f>
        <v>Damelag</v>
      </c>
    </row>
    <row r="304" ht="15.75" customHeight="1">
      <c r="A304" s="18">
        <f>IFERROR(__xludf.DUMMYFUNCTION("""COMPUTED_VALUE"""),45857.53076949074)</f>
        <v>45857.53077</v>
      </c>
      <c r="B304" s="2" t="str">
        <f>IFERROR(__xludf.DUMMYFUNCTION("""COMPUTED_VALUE"""),"Post 1")</f>
        <v>Post 1</v>
      </c>
      <c r="C304" s="2" t="str">
        <f>IFERROR(__xludf.DUMMYFUNCTION("""COMPUTED_VALUE"""),"LAG 47")</f>
        <v>LAG 47</v>
      </c>
      <c r="D304" s="2">
        <f>IFERROR(__xludf.DUMMYFUNCTION("""COMPUTED_VALUE"""),0.0)</f>
        <v>0</v>
      </c>
      <c r="E304" s="2" t="str">
        <f>IFERROR(__xludf.DUMMYFUNCTION("""COMPUTED_VALUE"""),"Mixlag")</f>
        <v>Mixlag</v>
      </c>
    </row>
    <row r="305" ht="15.75" customHeight="1">
      <c r="A305" s="18">
        <f>IFERROR(__xludf.DUMMYFUNCTION("""COMPUTED_VALUE"""),45857.53090240741)</f>
        <v>45857.5309</v>
      </c>
      <c r="B305" s="2" t="str">
        <f>IFERROR(__xludf.DUMMYFUNCTION("""COMPUTED_VALUE"""),"Post 5")</f>
        <v>Post 5</v>
      </c>
      <c r="C305" s="2" t="str">
        <f>IFERROR(__xludf.DUMMYFUNCTION("""COMPUTED_VALUE"""),"LAG 45")</f>
        <v>LAG 45</v>
      </c>
      <c r="D305" s="2">
        <f>IFERROR(__xludf.DUMMYFUNCTION("""COMPUTED_VALUE"""),10.0)</f>
        <v>10</v>
      </c>
      <c r="E305" s="2" t="str">
        <f>IFERROR(__xludf.DUMMYFUNCTION("""COMPUTED_VALUE"""),"Damelag")</f>
        <v>Damelag</v>
      </c>
    </row>
    <row r="306" ht="15.75" customHeight="1">
      <c r="A306" s="18">
        <f>IFERROR(__xludf.DUMMYFUNCTION("""COMPUTED_VALUE"""),45857.531042268514)</f>
        <v>45857.53104</v>
      </c>
      <c r="B306" s="2" t="str">
        <f>IFERROR(__xludf.DUMMYFUNCTION("""COMPUTED_VALUE"""),"Post 13")</f>
        <v>Post 13</v>
      </c>
      <c r="C306" s="2" t="str">
        <f>IFERROR(__xludf.DUMMYFUNCTION("""COMPUTED_VALUE"""),"LAG 66")</f>
        <v>LAG 66</v>
      </c>
      <c r="D306" s="2">
        <f>IFERROR(__xludf.DUMMYFUNCTION("""COMPUTED_VALUE"""),5.0)</f>
        <v>5</v>
      </c>
      <c r="E306" s="2" t="str">
        <f>IFERROR(__xludf.DUMMYFUNCTION("""COMPUTED_VALUE"""),"Damelag")</f>
        <v>Damelag</v>
      </c>
    </row>
    <row r="307" ht="15.75" customHeight="1">
      <c r="A307" s="18">
        <f>IFERROR(__xludf.DUMMYFUNCTION("""COMPUTED_VALUE"""),45857.531258726856)</f>
        <v>45857.53126</v>
      </c>
      <c r="B307" s="2" t="str">
        <f>IFERROR(__xludf.DUMMYFUNCTION("""COMPUTED_VALUE"""),"Post 13")</f>
        <v>Post 13</v>
      </c>
      <c r="C307" s="2" t="str">
        <f>IFERROR(__xludf.DUMMYFUNCTION("""COMPUTED_VALUE"""),"LAG 82")</f>
        <v>LAG 82</v>
      </c>
      <c r="D307" s="2">
        <f>IFERROR(__xludf.DUMMYFUNCTION("""COMPUTED_VALUE"""),30.0)</f>
        <v>30</v>
      </c>
      <c r="E307" s="2" t="str">
        <f>IFERROR(__xludf.DUMMYFUNCTION("""COMPUTED_VALUE"""),"Mixlag")</f>
        <v>Mixlag</v>
      </c>
    </row>
    <row r="308" ht="15.75" customHeight="1">
      <c r="A308" s="18">
        <f>IFERROR(__xludf.DUMMYFUNCTION("""COMPUTED_VALUE"""),45857.53130387732)</f>
        <v>45857.5313</v>
      </c>
      <c r="B308" s="2" t="str">
        <f>IFERROR(__xludf.DUMMYFUNCTION("""COMPUTED_VALUE"""),"Post 15")</f>
        <v>Post 15</v>
      </c>
      <c r="C308" s="2" t="str">
        <f>IFERROR(__xludf.DUMMYFUNCTION("""COMPUTED_VALUE"""),"LAG 6")</f>
        <v>LAG 6</v>
      </c>
      <c r="D308" s="2">
        <f>IFERROR(__xludf.DUMMYFUNCTION("""COMPUTED_VALUE"""),15.0)</f>
        <v>15</v>
      </c>
      <c r="E308" s="2" t="str">
        <f>IFERROR(__xludf.DUMMYFUNCTION("""COMPUTED_VALUE"""),"Mixlag")</f>
        <v>Mixlag</v>
      </c>
    </row>
    <row r="309" ht="15.75" customHeight="1">
      <c r="A309" s="18">
        <f>IFERROR(__xludf.DUMMYFUNCTION("""COMPUTED_VALUE"""),45857.53141806713)</f>
        <v>45857.53142</v>
      </c>
      <c r="B309" s="2" t="str">
        <f>IFERROR(__xludf.DUMMYFUNCTION("""COMPUTED_VALUE"""),"Post 5")</f>
        <v>Post 5</v>
      </c>
      <c r="C309" s="2" t="str">
        <f>IFERROR(__xludf.DUMMYFUNCTION("""COMPUTED_VALUE"""),"LAG 27")</f>
        <v>LAG 27</v>
      </c>
      <c r="D309" s="2">
        <f>IFERROR(__xludf.DUMMYFUNCTION("""COMPUTED_VALUE"""),10.0)</f>
        <v>10</v>
      </c>
      <c r="E309" s="2" t="str">
        <f>IFERROR(__xludf.DUMMYFUNCTION("""COMPUTED_VALUE"""),"Damelag")</f>
        <v>Damelag</v>
      </c>
    </row>
    <row r="310" ht="15.75" customHeight="1">
      <c r="A310" s="18">
        <f>IFERROR(__xludf.DUMMYFUNCTION("""COMPUTED_VALUE"""),45857.53143076389)</f>
        <v>45857.53143</v>
      </c>
      <c r="B310" s="2" t="str">
        <f>IFERROR(__xludf.DUMMYFUNCTION("""COMPUTED_VALUE"""),"Post 18")</f>
        <v>Post 18</v>
      </c>
      <c r="C310" s="2" t="str">
        <f>IFERROR(__xludf.DUMMYFUNCTION("""COMPUTED_VALUE"""),"LAG 1")</f>
        <v>LAG 1</v>
      </c>
      <c r="D310" s="2">
        <f>IFERROR(__xludf.DUMMYFUNCTION("""COMPUTED_VALUE"""),7.0)</f>
        <v>7</v>
      </c>
      <c r="E310" s="2" t="str">
        <f>IFERROR(__xludf.DUMMYFUNCTION("""COMPUTED_VALUE"""),"Damelag")</f>
        <v>Damelag</v>
      </c>
    </row>
    <row r="311" ht="15.75" customHeight="1">
      <c r="A311" s="18">
        <f>IFERROR(__xludf.DUMMYFUNCTION("""COMPUTED_VALUE"""),45857.53144832176)</f>
        <v>45857.53145</v>
      </c>
      <c r="B311" s="2" t="str">
        <f>IFERROR(__xludf.DUMMYFUNCTION("""COMPUTED_VALUE"""),"Post 13")</f>
        <v>Post 13</v>
      </c>
      <c r="C311" s="2" t="str">
        <f>IFERROR(__xludf.DUMMYFUNCTION("""COMPUTED_VALUE"""),"LAG 23")</f>
        <v>LAG 23</v>
      </c>
      <c r="D311" s="2">
        <f>IFERROR(__xludf.DUMMYFUNCTION("""COMPUTED_VALUE"""),20.0)</f>
        <v>20</v>
      </c>
      <c r="E311" s="2" t="str">
        <f>IFERROR(__xludf.DUMMYFUNCTION("""COMPUTED_VALUE"""),"Damelag")</f>
        <v>Damelag</v>
      </c>
    </row>
    <row r="312" ht="15.75" customHeight="1">
      <c r="A312" s="18">
        <f>IFERROR(__xludf.DUMMYFUNCTION("""COMPUTED_VALUE"""),45857.53147869213)</f>
        <v>45857.53148</v>
      </c>
      <c r="B312" s="2" t="str">
        <f>IFERROR(__xludf.DUMMYFUNCTION("""COMPUTED_VALUE"""),"Post 20")</f>
        <v>Post 20</v>
      </c>
      <c r="C312" s="2" t="str">
        <f>IFERROR(__xludf.DUMMYFUNCTION("""COMPUTED_VALUE"""),"LAG 23")</f>
        <v>LAG 23</v>
      </c>
      <c r="D312" s="2">
        <f>IFERROR(__xludf.DUMMYFUNCTION("""COMPUTED_VALUE"""),20.0)</f>
        <v>20</v>
      </c>
      <c r="E312" s="2" t="str">
        <f>IFERROR(__xludf.DUMMYFUNCTION("""COMPUTED_VALUE"""),"Damelag")</f>
        <v>Damelag</v>
      </c>
    </row>
    <row r="313" ht="15.75" customHeight="1">
      <c r="A313" s="18">
        <f>IFERROR(__xludf.DUMMYFUNCTION("""COMPUTED_VALUE"""),45857.5315465162)</f>
        <v>45857.53155</v>
      </c>
      <c r="B313" s="2" t="str">
        <f>IFERROR(__xludf.DUMMYFUNCTION("""COMPUTED_VALUE"""),"Post 15")</f>
        <v>Post 15</v>
      </c>
      <c r="C313" s="2" t="str">
        <f>IFERROR(__xludf.DUMMYFUNCTION("""COMPUTED_VALUE"""),"LAG 14")</f>
        <v>LAG 14</v>
      </c>
      <c r="D313" s="2">
        <f>IFERROR(__xludf.DUMMYFUNCTION("""COMPUTED_VALUE"""),20.0)</f>
        <v>20</v>
      </c>
      <c r="E313" s="2" t="str">
        <f>IFERROR(__xludf.DUMMYFUNCTION("""COMPUTED_VALUE"""),"Mixlag")</f>
        <v>Mixlag</v>
      </c>
    </row>
    <row r="314" ht="15.75" customHeight="1">
      <c r="A314" s="18">
        <f>IFERROR(__xludf.DUMMYFUNCTION("""COMPUTED_VALUE"""),45857.53156737269)</f>
        <v>45857.53157</v>
      </c>
      <c r="B314" s="2" t="str">
        <f>IFERROR(__xludf.DUMMYFUNCTION("""COMPUTED_VALUE"""),"Post 12")</f>
        <v>Post 12</v>
      </c>
      <c r="C314" s="2" t="str">
        <f>IFERROR(__xludf.DUMMYFUNCTION("""COMPUTED_VALUE"""),"LAG 12")</f>
        <v>LAG 12</v>
      </c>
      <c r="D314" s="2">
        <f>IFERROR(__xludf.DUMMYFUNCTION("""COMPUTED_VALUE"""),18.0)</f>
        <v>18</v>
      </c>
      <c r="E314" s="2" t="str">
        <f>IFERROR(__xludf.DUMMYFUNCTION("""COMPUTED_VALUE"""),"Damelag")</f>
        <v>Damelag</v>
      </c>
    </row>
    <row r="315" ht="15.75" customHeight="1">
      <c r="A315" s="18">
        <f>IFERROR(__xludf.DUMMYFUNCTION("""COMPUTED_VALUE"""),45857.53159835648)</f>
        <v>45857.5316</v>
      </c>
      <c r="B315" s="2" t="str">
        <f>IFERROR(__xludf.DUMMYFUNCTION("""COMPUTED_VALUE"""),"Post 13")</f>
        <v>Post 13</v>
      </c>
      <c r="C315" s="2" t="str">
        <f>IFERROR(__xludf.DUMMYFUNCTION("""COMPUTED_VALUE"""),"LAG 7")</f>
        <v>LAG 7</v>
      </c>
      <c r="D315" s="2">
        <f>IFERROR(__xludf.DUMMYFUNCTION("""COMPUTED_VALUE"""),30.0)</f>
        <v>30</v>
      </c>
      <c r="E315" s="2" t="str">
        <f>IFERROR(__xludf.DUMMYFUNCTION("""COMPUTED_VALUE"""),"Mixlag")</f>
        <v>Mixlag</v>
      </c>
    </row>
    <row r="316" ht="15.75" customHeight="1">
      <c r="A316" s="18">
        <f>IFERROR(__xludf.DUMMYFUNCTION("""COMPUTED_VALUE"""),45857.53179984954)</f>
        <v>45857.5318</v>
      </c>
      <c r="B316" s="2" t="str">
        <f>IFERROR(__xludf.DUMMYFUNCTION("""COMPUTED_VALUE"""),"Post 13")</f>
        <v>Post 13</v>
      </c>
      <c r="C316" s="2" t="str">
        <f>IFERROR(__xludf.DUMMYFUNCTION("""COMPUTED_VALUE"""),"LAG 80")</f>
        <v>LAG 80</v>
      </c>
      <c r="D316" s="2">
        <f>IFERROR(__xludf.DUMMYFUNCTION("""COMPUTED_VALUE"""),15.0)</f>
        <v>15</v>
      </c>
      <c r="E316" s="2" t="str">
        <f>IFERROR(__xludf.DUMMYFUNCTION("""COMPUTED_VALUE"""),"Herrelag")</f>
        <v>Herrelag</v>
      </c>
    </row>
    <row r="317" ht="15.75" customHeight="1">
      <c r="A317" s="18">
        <f>IFERROR(__xludf.DUMMYFUNCTION("""COMPUTED_VALUE"""),45857.53203638889)</f>
        <v>45857.53204</v>
      </c>
      <c r="B317" s="2" t="str">
        <f>IFERROR(__xludf.DUMMYFUNCTION("""COMPUTED_VALUE"""),"Post 13")</f>
        <v>Post 13</v>
      </c>
      <c r="C317" s="2" t="str">
        <f>IFERROR(__xludf.DUMMYFUNCTION("""COMPUTED_VALUE"""),"LAG 37")</f>
        <v>LAG 37</v>
      </c>
      <c r="D317" s="2">
        <f>IFERROR(__xludf.DUMMYFUNCTION("""COMPUTED_VALUE"""),20.0)</f>
        <v>20</v>
      </c>
      <c r="E317" s="2" t="str">
        <f>IFERROR(__xludf.DUMMYFUNCTION("""COMPUTED_VALUE"""),"Herrelag")</f>
        <v>Herrelag</v>
      </c>
    </row>
    <row r="318" ht="15.75" customHeight="1">
      <c r="A318" s="18">
        <f>IFERROR(__xludf.DUMMYFUNCTION("""COMPUTED_VALUE"""),45857.53220148148)</f>
        <v>45857.5322</v>
      </c>
      <c r="B318" s="2" t="str">
        <f>IFERROR(__xludf.DUMMYFUNCTION("""COMPUTED_VALUE"""),"Post 9")</f>
        <v>Post 9</v>
      </c>
      <c r="C318" s="2" t="str">
        <f>IFERROR(__xludf.DUMMYFUNCTION("""COMPUTED_VALUE"""),"LAG 73")</f>
        <v>LAG 73</v>
      </c>
      <c r="D318" s="2">
        <f>IFERROR(__xludf.DUMMYFUNCTION("""COMPUTED_VALUE"""),24.0)</f>
        <v>24</v>
      </c>
      <c r="E318" s="2" t="str">
        <f>IFERROR(__xludf.DUMMYFUNCTION("""COMPUTED_VALUE"""),"Mixlag")</f>
        <v>Mixlag</v>
      </c>
    </row>
    <row r="319" ht="15.75" customHeight="1">
      <c r="A319" s="18">
        <f>IFERROR(__xludf.DUMMYFUNCTION("""COMPUTED_VALUE"""),45857.53223119213)</f>
        <v>45857.53223</v>
      </c>
      <c r="B319" s="2" t="str">
        <f>IFERROR(__xludf.DUMMYFUNCTION("""COMPUTED_VALUE"""),"Post 13")</f>
        <v>Post 13</v>
      </c>
      <c r="C319" s="2" t="str">
        <f>IFERROR(__xludf.DUMMYFUNCTION("""COMPUTED_VALUE"""),"LAG 49")</f>
        <v>LAG 49</v>
      </c>
      <c r="D319" s="2">
        <f>IFERROR(__xludf.DUMMYFUNCTION("""COMPUTED_VALUE"""),25.0)</f>
        <v>25</v>
      </c>
      <c r="E319" s="2" t="str">
        <f>IFERROR(__xludf.DUMMYFUNCTION("""COMPUTED_VALUE"""),"Damelag")</f>
        <v>Damelag</v>
      </c>
    </row>
    <row r="320" ht="15.75" customHeight="1">
      <c r="A320" s="18">
        <f>IFERROR(__xludf.DUMMYFUNCTION("""COMPUTED_VALUE"""),45857.53225027778)</f>
        <v>45857.53225</v>
      </c>
      <c r="B320" s="2" t="str">
        <f>IFERROR(__xludf.DUMMYFUNCTION("""COMPUTED_VALUE"""),"Post 10")</f>
        <v>Post 10</v>
      </c>
      <c r="C320" s="2" t="str">
        <f>IFERROR(__xludf.DUMMYFUNCTION("""COMPUTED_VALUE"""),"LAG 11")</f>
        <v>LAG 11</v>
      </c>
      <c r="D320" s="2">
        <f>IFERROR(__xludf.DUMMYFUNCTION("""COMPUTED_VALUE"""),15.0)</f>
        <v>15</v>
      </c>
      <c r="E320" s="2" t="str">
        <f>IFERROR(__xludf.DUMMYFUNCTION("""COMPUTED_VALUE"""),"Damelag")</f>
        <v>Damelag</v>
      </c>
    </row>
    <row r="321" ht="15.75" customHeight="1">
      <c r="A321" s="18">
        <f>IFERROR(__xludf.DUMMYFUNCTION("""COMPUTED_VALUE"""),45857.53226730324)</f>
        <v>45857.53227</v>
      </c>
      <c r="B321" s="2" t="str">
        <f>IFERROR(__xludf.DUMMYFUNCTION("""COMPUTED_VALUE"""),"Post 12")</f>
        <v>Post 12</v>
      </c>
      <c r="C321" s="2" t="str">
        <f>IFERROR(__xludf.DUMMYFUNCTION("""COMPUTED_VALUE"""),"LAG 62")</f>
        <v>LAG 62</v>
      </c>
      <c r="D321" s="2">
        <f>IFERROR(__xludf.DUMMYFUNCTION("""COMPUTED_VALUE"""),17.0)</f>
        <v>17</v>
      </c>
      <c r="E321" s="2" t="str">
        <f>IFERROR(__xludf.DUMMYFUNCTION("""COMPUTED_VALUE"""),"Mixlag")</f>
        <v>Mixlag</v>
      </c>
    </row>
    <row r="322" ht="15.75" customHeight="1">
      <c r="A322" s="18">
        <f>IFERROR(__xludf.DUMMYFUNCTION("""COMPUTED_VALUE"""),45857.53237291667)</f>
        <v>45857.53237</v>
      </c>
      <c r="B322" s="2" t="str">
        <f>IFERROR(__xludf.DUMMYFUNCTION("""COMPUTED_VALUE"""),"Post 8")</f>
        <v>Post 8</v>
      </c>
      <c r="C322" s="2" t="str">
        <f>IFERROR(__xludf.DUMMYFUNCTION("""COMPUTED_VALUE"""),"LAG 59")</f>
        <v>LAG 59</v>
      </c>
      <c r="D322" s="2">
        <f>IFERROR(__xludf.DUMMYFUNCTION("""COMPUTED_VALUE"""),14.0)</f>
        <v>14</v>
      </c>
      <c r="E322" s="2" t="str">
        <f>IFERROR(__xludf.DUMMYFUNCTION("""COMPUTED_VALUE"""),"Damelag")</f>
        <v>Damelag</v>
      </c>
    </row>
    <row r="323" ht="15.75" customHeight="1">
      <c r="A323" s="18">
        <f>IFERROR(__xludf.DUMMYFUNCTION("""COMPUTED_VALUE"""),45857.53247888889)</f>
        <v>45857.53248</v>
      </c>
      <c r="B323" s="2" t="str">
        <f>IFERROR(__xludf.DUMMYFUNCTION("""COMPUTED_VALUE"""),"Post 13")</f>
        <v>Post 13</v>
      </c>
      <c r="C323" s="2" t="str">
        <f>IFERROR(__xludf.DUMMYFUNCTION("""COMPUTED_VALUE"""),"LAG 84")</f>
        <v>LAG 84</v>
      </c>
      <c r="D323" s="2">
        <f>IFERROR(__xludf.DUMMYFUNCTION("""COMPUTED_VALUE"""),30.0)</f>
        <v>30</v>
      </c>
      <c r="E323" s="2" t="str">
        <f>IFERROR(__xludf.DUMMYFUNCTION("""COMPUTED_VALUE"""),"Herrelag")</f>
        <v>Herrelag</v>
      </c>
    </row>
    <row r="324" ht="15.75" customHeight="1">
      <c r="A324" s="18">
        <f>IFERROR(__xludf.DUMMYFUNCTION("""COMPUTED_VALUE"""),45857.532577094906)</f>
        <v>45857.53258</v>
      </c>
      <c r="B324" s="2" t="str">
        <f>IFERROR(__xludf.DUMMYFUNCTION("""COMPUTED_VALUE"""),"Post 10")</f>
        <v>Post 10</v>
      </c>
      <c r="C324" s="2" t="str">
        <f>IFERROR(__xludf.DUMMYFUNCTION("""COMPUTED_VALUE"""),"LAG 20")</f>
        <v>LAG 20</v>
      </c>
      <c r="D324" s="2">
        <f>IFERROR(__xludf.DUMMYFUNCTION("""COMPUTED_VALUE"""),15.0)</f>
        <v>15</v>
      </c>
      <c r="E324" s="2" t="str">
        <f>IFERROR(__xludf.DUMMYFUNCTION("""COMPUTED_VALUE"""),"Damelag")</f>
        <v>Damelag</v>
      </c>
    </row>
    <row r="325" ht="15.75" customHeight="1">
      <c r="A325" s="18">
        <f>IFERROR(__xludf.DUMMYFUNCTION("""COMPUTED_VALUE"""),45857.53263775463)</f>
        <v>45857.53264</v>
      </c>
      <c r="B325" s="2" t="str">
        <f>IFERROR(__xludf.DUMMYFUNCTION("""COMPUTED_VALUE"""),"Post 20")</f>
        <v>Post 20</v>
      </c>
      <c r="C325" s="2" t="str">
        <f>IFERROR(__xludf.DUMMYFUNCTION("""COMPUTED_VALUE"""),"LAG 23")</f>
        <v>LAG 23</v>
      </c>
      <c r="D325" s="2">
        <f>IFERROR(__xludf.DUMMYFUNCTION("""COMPUTED_VALUE"""),20.0)</f>
        <v>20</v>
      </c>
      <c r="E325" s="2" t="str">
        <f>IFERROR(__xludf.DUMMYFUNCTION("""COMPUTED_VALUE"""),"Damelag")</f>
        <v>Damelag</v>
      </c>
    </row>
    <row r="326" ht="15.75" customHeight="1">
      <c r="A326" s="18">
        <f>IFERROR(__xludf.DUMMYFUNCTION("""COMPUTED_VALUE"""),45857.532720613424)</f>
        <v>45857.53272</v>
      </c>
      <c r="B326" s="2" t="str">
        <f>IFERROR(__xludf.DUMMYFUNCTION("""COMPUTED_VALUE"""),"Post 13")</f>
        <v>Post 13</v>
      </c>
      <c r="C326" s="2" t="str">
        <f>IFERROR(__xludf.DUMMYFUNCTION("""COMPUTED_VALUE"""),"LAG 59")</f>
        <v>LAG 59</v>
      </c>
      <c r="D326" s="2">
        <f>IFERROR(__xludf.DUMMYFUNCTION("""COMPUTED_VALUE"""),30.0)</f>
        <v>30</v>
      </c>
      <c r="E326" s="2" t="str">
        <f>IFERROR(__xludf.DUMMYFUNCTION("""COMPUTED_VALUE"""),"Damelag")</f>
        <v>Damelag</v>
      </c>
    </row>
    <row r="327" ht="15.75" customHeight="1">
      <c r="A327" s="18">
        <f>IFERROR(__xludf.DUMMYFUNCTION("""COMPUTED_VALUE"""),45857.532931168986)</f>
        <v>45857.53293</v>
      </c>
      <c r="B327" s="2" t="str">
        <f>IFERROR(__xludf.DUMMYFUNCTION("""COMPUTED_VALUE"""),"Post 13")</f>
        <v>Post 13</v>
      </c>
      <c r="C327" s="2" t="str">
        <f>IFERROR(__xludf.DUMMYFUNCTION("""COMPUTED_VALUE"""),"LAG 24")</f>
        <v>LAG 24</v>
      </c>
      <c r="D327" s="2">
        <f>IFERROR(__xludf.DUMMYFUNCTION("""COMPUTED_VALUE"""),30.0)</f>
        <v>30</v>
      </c>
      <c r="E327" s="2" t="str">
        <f>IFERROR(__xludf.DUMMYFUNCTION("""COMPUTED_VALUE"""),"Herrelag")</f>
        <v>Herrelag</v>
      </c>
    </row>
    <row r="328" ht="15.75" customHeight="1">
      <c r="A328" s="18">
        <f>IFERROR(__xludf.DUMMYFUNCTION("""COMPUTED_VALUE"""),45857.53298662037)</f>
        <v>45857.53299</v>
      </c>
      <c r="B328" s="2" t="str">
        <f>IFERROR(__xludf.DUMMYFUNCTION("""COMPUTED_VALUE"""),"Post 20")</f>
        <v>Post 20</v>
      </c>
      <c r="C328" s="2" t="str">
        <f>IFERROR(__xludf.DUMMYFUNCTION("""COMPUTED_VALUE"""),"LAG 38")</f>
        <v>LAG 38</v>
      </c>
      <c r="D328" s="2">
        <f>IFERROR(__xludf.DUMMYFUNCTION("""COMPUTED_VALUE"""),30.0)</f>
        <v>30</v>
      </c>
      <c r="E328" s="2" t="str">
        <f>IFERROR(__xludf.DUMMYFUNCTION("""COMPUTED_VALUE"""),"Damelag")</f>
        <v>Damelag</v>
      </c>
    </row>
    <row r="329" ht="15.75" customHeight="1">
      <c r="A329" s="18">
        <f>IFERROR(__xludf.DUMMYFUNCTION("""COMPUTED_VALUE"""),45857.53299207176)</f>
        <v>45857.53299</v>
      </c>
      <c r="B329" s="2" t="str">
        <f>IFERROR(__xludf.DUMMYFUNCTION("""COMPUTED_VALUE"""),"Post 3")</f>
        <v>Post 3</v>
      </c>
      <c r="C329" s="2" t="str">
        <f>IFERROR(__xludf.DUMMYFUNCTION("""COMPUTED_VALUE"""),"LAG 70")</f>
        <v>LAG 70</v>
      </c>
      <c r="D329" s="2">
        <f>IFERROR(__xludf.DUMMYFUNCTION("""COMPUTED_VALUE"""),8.0)</f>
        <v>8</v>
      </c>
      <c r="E329" s="2" t="str">
        <f>IFERROR(__xludf.DUMMYFUNCTION("""COMPUTED_VALUE"""),"Mixlag")</f>
        <v>Mixlag</v>
      </c>
    </row>
    <row r="330" ht="15.75" customHeight="1">
      <c r="A330" s="18">
        <f>IFERROR(__xludf.DUMMYFUNCTION("""COMPUTED_VALUE"""),45857.53320542824)</f>
        <v>45857.53321</v>
      </c>
      <c r="B330" s="2" t="str">
        <f>IFERROR(__xludf.DUMMYFUNCTION("""COMPUTED_VALUE"""),"Post 13")</f>
        <v>Post 13</v>
      </c>
      <c r="C330" s="2" t="str">
        <f>IFERROR(__xludf.DUMMYFUNCTION("""COMPUTED_VALUE"""),"LAG 21")</f>
        <v>LAG 21</v>
      </c>
      <c r="D330" s="2">
        <f>IFERROR(__xludf.DUMMYFUNCTION("""COMPUTED_VALUE"""),30.0)</f>
        <v>30</v>
      </c>
      <c r="E330" s="2" t="str">
        <f>IFERROR(__xludf.DUMMYFUNCTION("""COMPUTED_VALUE"""),"Damelag")</f>
        <v>Damelag</v>
      </c>
    </row>
    <row r="331" ht="15.75" customHeight="1">
      <c r="A331" s="18">
        <f>IFERROR(__xludf.DUMMYFUNCTION("""COMPUTED_VALUE"""),45857.53322215278)</f>
        <v>45857.53322</v>
      </c>
      <c r="B331" s="2" t="str">
        <f>IFERROR(__xludf.DUMMYFUNCTION("""COMPUTED_VALUE"""),"Post 6")</f>
        <v>Post 6</v>
      </c>
      <c r="C331" s="2" t="str">
        <f>IFERROR(__xludf.DUMMYFUNCTION("""COMPUTED_VALUE"""),"LAG 1")</f>
        <v>LAG 1</v>
      </c>
      <c r="D331" s="2">
        <f>IFERROR(__xludf.DUMMYFUNCTION("""COMPUTED_VALUE"""),0.0)</f>
        <v>0</v>
      </c>
      <c r="E331" s="2" t="str">
        <f>IFERROR(__xludf.DUMMYFUNCTION("""COMPUTED_VALUE"""),"Damelag")</f>
        <v>Damelag</v>
      </c>
    </row>
    <row r="332" ht="15.75" customHeight="1">
      <c r="A332" s="18">
        <f>IFERROR(__xludf.DUMMYFUNCTION("""COMPUTED_VALUE"""),45857.533409675925)</f>
        <v>45857.53341</v>
      </c>
      <c r="B332" s="2" t="str">
        <f>IFERROR(__xludf.DUMMYFUNCTION("""COMPUTED_VALUE"""),"Post 18")</f>
        <v>Post 18</v>
      </c>
      <c r="C332" s="2" t="str">
        <f>IFERROR(__xludf.DUMMYFUNCTION("""COMPUTED_VALUE"""),"LAG 38")</f>
        <v>LAG 38</v>
      </c>
      <c r="D332" s="2">
        <f>IFERROR(__xludf.DUMMYFUNCTION("""COMPUTED_VALUE"""),8.0)</f>
        <v>8</v>
      </c>
      <c r="E332" s="2" t="str">
        <f>IFERROR(__xludf.DUMMYFUNCTION("""COMPUTED_VALUE"""),"Damelag")</f>
        <v>Damelag</v>
      </c>
    </row>
    <row r="333" ht="15.75" customHeight="1">
      <c r="A333" s="18">
        <f>IFERROR(__xludf.DUMMYFUNCTION("""COMPUTED_VALUE"""),45857.53342335648)</f>
        <v>45857.53342</v>
      </c>
      <c r="B333" s="2" t="str">
        <f>IFERROR(__xludf.DUMMYFUNCTION("""COMPUTED_VALUE"""),"Post 13")</f>
        <v>Post 13</v>
      </c>
      <c r="C333" s="2" t="str">
        <f>IFERROR(__xludf.DUMMYFUNCTION("""COMPUTED_VALUE"""),"LAG 79")</f>
        <v>LAG 79</v>
      </c>
      <c r="D333" s="2">
        <f>IFERROR(__xludf.DUMMYFUNCTION("""COMPUTED_VALUE"""),25.0)</f>
        <v>25</v>
      </c>
      <c r="E333" s="2" t="str">
        <f>IFERROR(__xludf.DUMMYFUNCTION("""COMPUTED_VALUE"""),"Herrelag")</f>
        <v>Herrelag</v>
      </c>
    </row>
    <row r="334" ht="15.75" customHeight="1">
      <c r="A334" s="18">
        <f>IFERROR(__xludf.DUMMYFUNCTION("""COMPUTED_VALUE"""),45857.53363497685)</f>
        <v>45857.53363</v>
      </c>
      <c r="B334" s="2" t="str">
        <f>IFERROR(__xludf.DUMMYFUNCTION("""COMPUTED_VALUE"""),"Post 2")</f>
        <v>Post 2</v>
      </c>
      <c r="C334" s="2" t="str">
        <f>IFERROR(__xludf.DUMMYFUNCTION("""COMPUTED_VALUE"""),"LAG 73")</f>
        <v>LAG 73</v>
      </c>
      <c r="D334" s="2">
        <f>IFERROR(__xludf.DUMMYFUNCTION("""COMPUTED_VALUE"""),15.0)</f>
        <v>15</v>
      </c>
      <c r="E334" s="2" t="str">
        <f>IFERROR(__xludf.DUMMYFUNCTION("""COMPUTED_VALUE"""),"Mixlag")</f>
        <v>Mixlag</v>
      </c>
    </row>
    <row r="335" ht="15.75" customHeight="1">
      <c r="A335" s="18">
        <f>IFERROR(__xludf.DUMMYFUNCTION("""COMPUTED_VALUE"""),45857.53367251158)</f>
        <v>45857.53367</v>
      </c>
      <c r="B335" s="2" t="str">
        <f>IFERROR(__xludf.DUMMYFUNCTION("""COMPUTED_VALUE"""),"Post 18")</f>
        <v>Post 18</v>
      </c>
      <c r="C335" s="2" t="str">
        <f>IFERROR(__xludf.DUMMYFUNCTION("""COMPUTED_VALUE"""),"LAG 74")</f>
        <v>LAG 74</v>
      </c>
      <c r="D335" s="2">
        <f>IFERROR(__xludf.DUMMYFUNCTION("""COMPUTED_VALUE"""),9.0)</f>
        <v>9</v>
      </c>
      <c r="E335" s="2" t="str">
        <f>IFERROR(__xludf.DUMMYFUNCTION("""COMPUTED_VALUE"""),"Damelag")</f>
        <v>Damelag</v>
      </c>
    </row>
    <row r="336" ht="15.75" customHeight="1">
      <c r="A336" s="18">
        <f>IFERROR(__xludf.DUMMYFUNCTION("""COMPUTED_VALUE"""),45857.533904525466)</f>
        <v>45857.5339</v>
      </c>
      <c r="B336" s="2" t="str">
        <f>IFERROR(__xludf.DUMMYFUNCTION("""COMPUTED_VALUE"""),"Post 4")</f>
        <v>Post 4</v>
      </c>
      <c r="C336" s="2" t="str">
        <f>IFERROR(__xludf.DUMMYFUNCTION("""COMPUTED_VALUE"""),"LAG 61")</f>
        <v>LAG 61</v>
      </c>
      <c r="D336" s="2">
        <f>IFERROR(__xludf.DUMMYFUNCTION("""COMPUTED_VALUE"""),15.0)</f>
        <v>15</v>
      </c>
      <c r="E336" s="2" t="str">
        <f>IFERROR(__xludf.DUMMYFUNCTION("""COMPUTED_VALUE"""),"Herrelag")</f>
        <v>Herrelag</v>
      </c>
    </row>
    <row r="337" ht="15.75" customHeight="1">
      <c r="A337" s="18">
        <f>IFERROR(__xludf.DUMMYFUNCTION("""COMPUTED_VALUE"""),45857.53398771991)</f>
        <v>45857.53399</v>
      </c>
      <c r="B337" s="2" t="str">
        <f>IFERROR(__xludf.DUMMYFUNCTION("""COMPUTED_VALUE"""),"Post 20")</f>
        <v>Post 20</v>
      </c>
      <c r="C337" s="2" t="str">
        <f>IFERROR(__xludf.DUMMYFUNCTION("""COMPUTED_VALUE"""),"LAG 63")</f>
        <v>LAG 63</v>
      </c>
      <c r="D337" s="2">
        <f>IFERROR(__xludf.DUMMYFUNCTION("""COMPUTED_VALUE"""),30.0)</f>
        <v>30</v>
      </c>
      <c r="E337" s="2" t="str">
        <f>IFERROR(__xludf.DUMMYFUNCTION("""COMPUTED_VALUE"""),"Mixlag")</f>
        <v>Mixlag</v>
      </c>
    </row>
    <row r="338" ht="15.75" customHeight="1">
      <c r="A338" s="18">
        <f>IFERROR(__xludf.DUMMYFUNCTION("""COMPUTED_VALUE"""),45857.53436900463)</f>
        <v>45857.53437</v>
      </c>
      <c r="B338" s="2" t="str">
        <f>IFERROR(__xludf.DUMMYFUNCTION("""COMPUTED_VALUE"""),"Post 6")</f>
        <v>Post 6</v>
      </c>
      <c r="C338" s="2" t="str">
        <f>IFERROR(__xludf.DUMMYFUNCTION("""COMPUTED_VALUE"""),"LAG 81")</f>
        <v>LAG 81</v>
      </c>
      <c r="D338" s="2">
        <f>IFERROR(__xludf.DUMMYFUNCTION("""COMPUTED_VALUE"""),20.0)</f>
        <v>20</v>
      </c>
      <c r="E338" s="2" t="str">
        <f>IFERROR(__xludf.DUMMYFUNCTION("""COMPUTED_VALUE"""),"Herrelag")</f>
        <v>Herrelag</v>
      </c>
    </row>
    <row r="339" ht="15.75" customHeight="1">
      <c r="A339" s="18">
        <f>IFERROR(__xludf.DUMMYFUNCTION("""COMPUTED_VALUE"""),45857.53442190972)</f>
        <v>45857.53442</v>
      </c>
      <c r="B339" s="2" t="str">
        <f>IFERROR(__xludf.DUMMYFUNCTION("""COMPUTED_VALUE"""),"Post 8")</f>
        <v>Post 8</v>
      </c>
      <c r="C339" s="2" t="str">
        <f>IFERROR(__xludf.DUMMYFUNCTION("""COMPUTED_VALUE"""),"LAG 72")</f>
        <v>LAG 72</v>
      </c>
      <c r="D339" s="2">
        <f>IFERROR(__xludf.DUMMYFUNCTION("""COMPUTED_VALUE"""),10.0)</f>
        <v>10</v>
      </c>
      <c r="E339" s="2" t="str">
        <f>IFERROR(__xludf.DUMMYFUNCTION("""COMPUTED_VALUE"""),"Herrelag")</f>
        <v>Herrelag</v>
      </c>
    </row>
    <row r="340" ht="15.75" customHeight="1">
      <c r="A340" s="18">
        <f>IFERROR(__xludf.DUMMYFUNCTION("""COMPUTED_VALUE"""),45857.53459851852)</f>
        <v>45857.5346</v>
      </c>
      <c r="B340" s="2" t="str">
        <f>IFERROR(__xludf.DUMMYFUNCTION("""COMPUTED_VALUE"""),"Post 1")</f>
        <v>Post 1</v>
      </c>
      <c r="C340" s="2" t="str">
        <f>IFERROR(__xludf.DUMMYFUNCTION("""COMPUTED_VALUE"""),"LAG 80")</f>
        <v>LAG 80</v>
      </c>
      <c r="D340" s="2">
        <f>IFERROR(__xludf.DUMMYFUNCTION("""COMPUTED_VALUE"""),0.0)</f>
        <v>0</v>
      </c>
      <c r="E340" s="2" t="str">
        <f>IFERROR(__xludf.DUMMYFUNCTION("""COMPUTED_VALUE"""),"Herrelag")</f>
        <v>Herrelag</v>
      </c>
    </row>
    <row r="341" ht="15.75" customHeight="1">
      <c r="A341" s="18">
        <f>IFERROR(__xludf.DUMMYFUNCTION("""COMPUTED_VALUE"""),45857.53462283565)</f>
        <v>45857.53462</v>
      </c>
      <c r="B341" s="2" t="str">
        <f>IFERROR(__xludf.DUMMYFUNCTION("""COMPUTED_VALUE"""),"Post 18")</f>
        <v>Post 18</v>
      </c>
      <c r="C341" s="2" t="str">
        <f>IFERROR(__xludf.DUMMYFUNCTION("""COMPUTED_VALUE"""),"LAG 45")</f>
        <v>LAG 45</v>
      </c>
      <c r="D341" s="2">
        <f>IFERROR(__xludf.DUMMYFUNCTION("""COMPUTED_VALUE"""),8.0)</f>
        <v>8</v>
      </c>
      <c r="E341" s="2" t="str">
        <f>IFERROR(__xludf.DUMMYFUNCTION("""COMPUTED_VALUE"""),"Damelag")</f>
        <v>Damelag</v>
      </c>
    </row>
    <row r="342" ht="15.75" customHeight="1">
      <c r="A342" s="18">
        <f>IFERROR(__xludf.DUMMYFUNCTION("""COMPUTED_VALUE"""),45857.534766400466)</f>
        <v>45857.53477</v>
      </c>
      <c r="B342" s="2" t="str">
        <f>IFERROR(__xludf.DUMMYFUNCTION("""COMPUTED_VALUE"""),"Post 12")</f>
        <v>Post 12</v>
      </c>
      <c r="C342" s="2" t="str">
        <f>IFERROR(__xludf.DUMMYFUNCTION("""COMPUTED_VALUE"""),"LAG 48")</f>
        <v>LAG 48</v>
      </c>
      <c r="D342" s="2">
        <f>IFERROR(__xludf.DUMMYFUNCTION("""COMPUTED_VALUE"""),14.0)</f>
        <v>14</v>
      </c>
      <c r="E342" s="2" t="str">
        <f>IFERROR(__xludf.DUMMYFUNCTION("""COMPUTED_VALUE"""),"Damelag")</f>
        <v>Damelag</v>
      </c>
    </row>
    <row r="343" ht="15.75" customHeight="1">
      <c r="A343" s="18">
        <f>IFERROR(__xludf.DUMMYFUNCTION("""COMPUTED_VALUE"""),45857.53481328704)</f>
        <v>45857.53481</v>
      </c>
      <c r="B343" s="2" t="str">
        <f>IFERROR(__xludf.DUMMYFUNCTION("""COMPUTED_VALUE"""),"Post 6")</f>
        <v>Post 6</v>
      </c>
      <c r="C343" s="2" t="str">
        <f>IFERROR(__xludf.DUMMYFUNCTION("""COMPUTED_VALUE"""),"LAG 3")</f>
        <v>LAG 3</v>
      </c>
      <c r="D343" s="2">
        <f>IFERROR(__xludf.DUMMYFUNCTION("""COMPUTED_VALUE"""),8.0)</f>
        <v>8</v>
      </c>
      <c r="E343" s="2" t="str">
        <f>IFERROR(__xludf.DUMMYFUNCTION("""COMPUTED_VALUE"""),"Damelag")</f>
        <v>Damelag</v>
      </c>
    </row>
    <row r="344" ht="15.75" customHeight="1">
      <c r="A344" s="18">
        <f>IFERROR(__xludf.DUMMYFUNCTION("""COMPUTED_VALUE"""),45857.534989548614)</f>
        <v>45857.53499</v>
      </c>
      <c r="B344" s="2" t="str">
        <f>IFERROR(__xludf.DUMMYFUNCTION("""COMPUTED_VALUE"""),"Post 3")</f>
        <v>Post 3</v>
      </c>
      <c r="C344" s="2" t="str">
        <f>IFERROR(__xludf.DUMMYFUNCTION("""COMPUTED_VALUE"""),"LAG 30")</f>
        <v>LAG 30</v>
      </c>
      <c r="D344" s="2">
        <f>IFERROR(__xludf.DUMMYFUNCTION("""COMPUTED_VALUE"""),15.0)</f>
        <v>15</v>
      </c>
      <c r="E344" s="2" t="str">
        <f>IFERROR(__xludf.DUMMYFUNCTION("""COMPUTED_VALUE"""),"Damelag")</f>
        <v>Damelag</v>
      </c>
    </row>
    <row r="345" ht="15.75" customHeight="1">
      <c r="A345" s="18">
        <f>IFERROR(__xludf.DUMMYFUNCTION("""COMPUTED_VALUE"""),45857.53514091435)</f>
        <v>45857.53514</v>
      </c>
      <c r="B345" s="2" t="str">
        <f>IFERROR(__xludf.DUMMYFUNCTION("""COMPUTED_VALUE"""),"Post 1")</f>
        <v>Post 1</v>
      </c>
      <c r="C345" s="2" t="str">
        <f>IFERROR(__xludf.DUMMYFUNCTION("""COMPUTED_VALUE"""),"LAG 15")</f>
        <v>LAG 15</v>
      </c>
      <c r="D345" s="2">
        <f>IFERROR(__xludf.DUMMYFUNCTION("""COMPUTED_VALUE"""),2.0)</f>
        <v>2</v>
      </c>
      <c r="E345" s="2" t="str">
        <f>IFERROR(__xludf.DUMMYFUNCTION("""COMPUTED_VALUE"""),"Herrelag")</f>
        <v>Herrelag</v>
      </c>
    </row>
    <row r="346" ht="15.75" customHeight="1">
      <c r="A346" s="18">
        <f>IFERROR(__xludf.DUMMYFUNCTION("""COMPUTED_VALUE"""),45857.53542157407)</f>
        <v>45857.53542</v>
      </c>
      <c r="B346" s="2" t="str">
        <f>IFERROR(__xludf.DUMMYFUNCTION("""COMPUTED_VALUE"""),"Post 10")</f>
        <v>Post 10</v>
      </c>
      <c r="C346" s="2" t="str">
        <f>IFERROR(__xludf.DUMMYFUNCTION("""COMPUTED_VALUE"""),"LAG 13")</f>
        <v>LAG 13</v>
      </c>
      <c r="D346" s="2">
        <f>IFERROR(__xludf.DUMMYFUNCTION("""COMPUTED_VALUE"""),14.0)</f>
        <v>14</v>
      </c>
      <c r="E346" s="2" t="str">
        <f>IFERROR(__xludf.DUMMYFUNCTION("""COMPUTED_VALUE"""),"Herrelag")</f>
        <v>Herrelag</v>
      </c>
    </row>
    <row r="347" ht="15.75" customHeight="1">
      <c r="A347" s="18">
        <f>IFERROR(__xludf.DUMMYFUNCTION("""COMPUTED_VALUE"""),45857.53548796296)</f>
        <v>45857.53549</v>
      </c>
      <c r="B347" s="2" t="str">
        <f>IFERROR(__xludf.DUMMYFUNCTION("""COMPUTED_VALUE"""),"Post 4")</f>
        <v>Post 4</v>
      </c>
      <c r="C347" s="2" t="str">
        <f>IFERROR(__xludf.DUMMYFUNCTION("""COMPUTED_VALUE"""),"LAG 84")</f>
        <v>LAG 84</v>
      </c>
      <c r="D347" s="2">
        <f>IFERROR(__xludf.DUMMYFUNCTION("""COMPUTED_VALUE"""),15.0)</f>
        <v>15</v>
      </c>
      <c r="E347" s="2" t="str">
        <f>IFERROR(__xludf.DUMMYFUNCTION("""COMPUTED_VALUE"""),"Herrelag")</f>
        <v>Herrelag</v>
      </c>
    </row>
    <row r="348" ht="15.75" customHeight="1">
      <c r="A348" s="18">
        <f>IFERROR(__xludf.DUMMYFUNCTION("""COMPUTED_VALUE"""),45857.535738252314)</f>
        <v>45857.53574</v>
      </c>
      <c r="B348" s="2" t="str">
        <f>IFERROR(__xludf.DUMMYFUNCTION("""COMPUTED_VALUE"""),"Post 12")</f>
        <v>Post 12</v>
      </c>
      <c r="C348" s="2" t="str">
        <f>IFERROR(__xludf.DUMMYFUNCTION("""COMPUTED_VALUE"""),"LAG 1")</f>
        <v>LAG 1</v>
      </c>
      <c r="D348" s="2">
        <f>IFERROR(__xludf.DUMMYFUNCTION("""COMPUTED_VALUE"""),14.0)</f>
        <v>14</v>
      </c>
      <c r="E348" s="2" t="str">
        <f>IFERROR(__xludf.DUMMYFUNCTION("""COMPUTED_VALUE"""),"Damelag")</f>
        <v>Damelag</v>
      </c>
    </row>
    <row r="349" ht="15.75" customHeight="1">
      <c r="A349" s="18">
        <f>IFERROR(__xludf.DUMMYFUNCTION("""COMPUTED_VALUE"""),45857.53576791666)</f>
        <v>45857.53577</v>
      </c>
      <c r="B349" s="2" t="str">
        <f>IFERROR(__xludf.DUMMYFUNCTION("""COMPUTED_VALUE"""),"Post 15")</f>
        <v>Post 15</v>
      </c>
      <c r="C349" s="2" t="str">
        <f>IFERROR(__xludf.DUMMYFUNCTION("""COMPUTED_VALUE"""),"LAG 49")</f>
        <v>LAG 49</v>
      </c>
      <c r="D349" s="2">
        <f>IFERROR(__xludf.DUMMYFUNCTION("""COMPUTED_VALUE"""),15.0)</f>
        <v>15</v>
      </c>
      <c r="E349" s="2" t="str">
        <f>IFERROR(__xludf.DUMMYFUNCTION("""COMPUTED_VALUE"""),"Damelag")</f>
        <v>Damelag</v>
      </c>
    </row>
    <row r="350" ht="15.75" customHeight="1">
      <c r="A350" s="18">
        <f>IFERROR(__xludf.DUMMYFUNCTION("""COMPUTED_VALUE"""),45857.53584285879)</f>
        <v>45857.53584</v>
      </c>
      <c r="B350" s="2" t="str">
        <f>IFERROR(__xludf.DUMMYFUNCTION("""COMPUTED_VALUE"""),"Post 8")</f>
        <v>Post 8</v>
      </c>
      <c r="C350" s="2" t="str">
        <f>IFERROR(__xludf.DUMMYFUNCTION("""COMPUTED_VALUE"""),"LAG 5")</f>
        <v>LAG 5</v>
      </c>
      <c r="D350" s="2">
        <f>IFERROR(__xludf.DUMMYFUNCTION("""COMPUTED_VALUE"""),9.0)</f>
        <v>9</v>
      </c>
      <c r="E350" s="2" t="str">
        <f>IFERROR(__xludf.DUMMYFUNCTION("""COMPUTED_VALUE"""),"Mixlag")</f>
        <v>Mixlag</v>
      </c>
    </row>
    <row r="351" ht="15.75" customHeight="1">
      <c r="A351" s="18">
        <f>IFERROR(__xludf.DUMMYFUNCTION("""COMPUTED_VALUE"""),45857.53588732639)</f>
        <v>45857.53589</v>
      </c>
      <c r="B351" s="2" t="str">
        <f>IFERROR(__xludf.DUMMYFUNCTION("""COMPUTED_VALUE"""),"Post 10")</f>
        <v>Post 10</v>
      </c>
      <c r="C351" s="2" t="str">
        <f>IFERROR(__xludf.DUMMYFUNCTION("""COMPUTED_VALUE"""),"LAG 59")</f>
        <v>LAG 59</v>
      </c>
      <c r="D351" s="2">
        <f>IFERROR(__xludf.DUMMYFUNCTION("""COMPUTED_VALUE"""),15.0)</f>
        <v>15</v>
      </c>
      <c r="E351" s="2" t="str">
        <f>IFERROR(__xludf.DUMMYFUNCTION("""COMPUTED_VALUE"""),"Damelag")</f>
        <v>Damelag</v>
      </c>
    </row>
    <row r="352" ht="15.75" customHeight="1">
      <c r="A352" s="18">
        <f>IFERROR(__xludf.DUMMYFUNCTION("""COMPUTED_VALUE"""),45857.536038171296)</f>
        <v>45857.53604</v>
      </c>
      <c r="B352" s="2" t="str">
        <f>IFERROR(__xludf.DUMMYFUNCTION("""COMPUTED_VALUE"""),"Post 15")</f>
        <v>Post 15</v>
      </c>
      <c r="C352" s="2" t="str">
        <f>IFERROR(__xludf.DUMMYFUNCTION("""COMPUTED_VALUE"""),"LAG 62")</f>
        <v>LAG 62</v>
      </c>
      <c r="D352" s="2">
        <f>IFERROR(__xludf.DUMMYFUNCTION("""COMPUTED_VALUE"""),20.0)</f>
        <v>20</v>
      </c>
      <c r="E352" s="2" t="str">
        <f>IFERROR(__xludf.DUMMYFUNCTION("""COMPUTED_VALUE"""),"Mixlag")</f>
        <v>Mixlag</v>
      </c>
    </row>
    <row r="353" ht="15.75" customHeight="1">
      <c r="A353" s="18">
        <f>IFERROR(__xludf.DUMMYFUNCTION("""COMPUTED_VALUE"""),45857.53627671296)</f>
        <v>45857.53628</v>
      </c>
      <c r="B353" s="2" t="str">
        <f>IFERROR(__xludf.DUMMYFUNCTION("""COMPUTED_VALUE"""),"Post 9")</f>
        <v>Post 9</v>
      </c>
      <c r="C353" s="2" t="str">
        <f>IFERROR(__xludf.DUMMYFUNCTION("""COMPUTED_VALUE"""),"LAG 21")</f>
        <v>LAG 21</v>
      </c>
      <c r="D353" s="2">
        <f>IFERROR(__xludf.DUMMYFUNCTION("""COMPUTED_VALUE"""),27.0)</f>
        <v>27</v>
      </c>
      <c r="E353" s="2" t="str">
        <f>IFERROR(__xludf.DUMMYFUNCTION("""COMPUTED_VALUE"""),"Damelag")</f>
        <v>Damelag</v>
      </c>
    </row>
    <row r="354" ht="15.75" customHeight="1">
      <c r="A354" s="18">
        <f>IFERROR(__xludf.DUMMYFUNCTION("""COMPUTED_VALUE"""),45857.53632269676)</f>
        <v>45857.53632</v>
      </c>
      <c r="B354" s="2" t="str">
        <f>IFERROR(__xludf.DUMMYFUNCTION("""COMPUTED_VALUE"""),"Post 18")</f>
        <v>Post 18</v>
      </c>
      <c r="C354" s="2" t="str">
        <f>IFERROR(__xludf.DUMMYFUNCTION("""COMPUTED_VALUE"""),"LAG 77")</f>
        <v>LAG 77</v>
      </c>
      <c r="D354" s="2">
        <f>IFERROR(__xludf.DUMMYFUNCTION("""COMPUTED_VALUE"""),8.0)</f>
        <v>8</v>
      </c>
      <c r="E354" s="2" t="str">
        <f>IFERROR(__xludf.DUMMYFUNCTION("""COMPUTED_VALUE"""),"Mixlag")</f>
        <v>Mixlag</v>
      </c>
    </row>
    <row r="355" ht="15.75" customHeight="1">
      <c r="A355" s="18">
        <f>IFERROR(__xludf.DUMMYFUNCTION("""COMPUTED_VALUE"""),45857.536543229166)</f>
        <v>45857.53654</v>
      </c>
      <c r="B355" s="2" t="str">
        <f>IFERROR(__xludf.DUMMYFUNCTION("""COMPUTED_VALUE"""),"Post 15")</f>
        <v>Post 15</v>
      </c>
      <c r="C355" s="2" t="str">
        <f>IFERROR(__xludf.DUMMYFUNCTION("""COMPUTED_VALUE"""),"LAG 63")</f>
        <v>LAG 63</v>
      </c>
      <c r="D355" s="2">
        <f>IFERROR(__xludf.DUMMYFUNCTION("""COMPUTED_VALUE"""),15.0)</f>
        <v>15</v>
      </c>
      <c r="E355" s="2" t="str">
        <f>IFERROR(__xludf.DUMMYFUNCTION("""COMPUTED_VALUE"""),"Mixlag")</f>
        <v>Mixlag</v>
      </c>
    </row>
    <row r="356" ht="15.75" customHeight="1">
      <c r="A356" s="18">
        <f>IFERROR(__xludf.DUMMYFUNCTION("""COMPUTED_VALUE"""),45857.53666143518)</f>
        <v>45857.53666</v>
      </c>
      <c r="B356" s="2" t="str">
        <f>IFERROR(__xludf.DUMMYFUNCTION("""COMPUTED_VALUE"""),"Post 5")</f>
        <v>Post 5</v>
      </c>
      <c r="C356" s="2" t="str">
        <f>IFERROR(__xludf.DUMMYFUNCTION("""COMPUTED_VALUE"""),"LAG 48")</f>
        <v>LAG 48</v>
      </c>
      <c r="D356" s="2">
        <f>IFERROR(__xludf.DUMMYFUNCTION("""COMPUTED_VALUE"""),10.0)</f>
        <v>10</v>
      </c>
      <c r="E356" s="2" t="str">
        <f>IFERROR(__xludf.DUMMYFUNCTION("""COMPUTED_VALUE"""),"Damelag")</f>
        <v>Damelag</v>
      </c>
    </row>
    <row r="357" ht="15.75" customHeight="1">
      <c r="A357" s="18">
        <f>IFERROR(__xludf.DUMMYFUNCTION("""COMPUTED_VALUE"""),45857.53739050926)</f>
        <v>45857.53739</v>
      </c>
      <c r="B357" s="2" t="str">
        <f>IFERROR(__xludf.DUMMYFUNCTION("""COMPUTED_VALUE"""),"Post 6")</f>
        <v>Post 6</v>
      </c>
      <c r="C357" s="2" t="str">
        <f>IFERROR(__xludf.DUMMYFUNCTION("""COMPUTED_VALUE"""),"LAG 71")</f>
        <v>LAG 71</v>
      </c>
      <c r="D357" s="2">
        <f>IFERROR(__xludf.DUMMYFUNCTION("""COMPUTED_VALUE"""),16.0)</f>
        <v>16</v>
      </c>
      <c r="E357" s="2" t="str">
        <f>IFERROR(__xludf.DUMMYFUNCTION("""COMPUTED_VALUE"""),"Damelag")</f>
        <v>Damelag</v>
      </c>
    </row>
    <row r="358" ht="15.75" customHeight="1">
      <c r="A358" s="18">
        <f>IFERROR(__xludf.DUMMYFUNCTION("""COMPUTED_VALUE"""),45857.53739167824)</f>
        <v>45857.53739</v>
      </c>
      <c r="B358" s="2" t="str">
        <f>IFERROR(__xludf.DUMMYFUNCTION("""COMPUTED_VALUE"""),"Post 2")</f>
        <v>Post 2</v>
      </c>
      <c r="C358" s="2" t="str">
        <f>IFERROR(__xludf.DUMMYFUNCTION("""COMPUTED_VALUE"""),"LAG 15")</f>
        <v>LAG 15</v>
      </c>
      <c r="D358" s="2">
        <f>IFERROR(__xludf.DUMMYFUNCTION("""COMPUTED_VALUE"""),15.0)</f>
        <v>15</v>
      </c>
      <c r="E358" s="2" t="str">
        <f>IFERROR(__xludf.DUMMYFUNCTION("""COMPUTED_VALUE"""),"Herrelag")</f>
        <v>Herrelag</v>
      </c>
    </row>
    <row r="359" ht="15.75" customHeight="1">
      <c r="A359" s="18">
        <f>IFERROR(__xludf.DUMMYFUNCTION("""COMPUTED_VALUE"""),45857.53763755787)</f>
        <v>45857.53764</v>
      </c>
      <c r="B359" s="2" t="str">
        <f>IFERROR(__xludf.DUMMYFUNCTION("""COMPUTED_VALUE"""),"Post 15")</f>
        <v>Post 15</v>
      </c>
      <c r="C359" s="2" t="str">
        <f>IFERROR(__xludf.DUMMYFUNCTION("""COMPUTED_VALUE"""),"LAG 71")</f>
        <v>LAG 71</v>
      </c>
      <c r="D359" s="2">
        <f>IFERROR(__xludf.DUMMYFUNCTION("""COMPUTED_VALUE"""),20.0)</f>
        <v>20</v>
      </c>
      <c r="E359" s="2" t="str">
        <f>IFERROR(__xludf.DUMMYFUNCTION("""COMPUTED_VALUE"""),"Mixlag")</f>
        <v>Mixlag</v>
      </c>
    </row>
    <row r="360" ht="15.75" customHeight="1">
      <c r="A360" s="18">
        <f>IFERROR(__xludf.DUMMYFUNCTION("""COMPUTED_VALUE"""),45857.537836504634)</f>
        <v>45857.53784</v>
      </c>
      <c r="B360" s="2" t="str">
        <f>IFERROR(__xludf.DUMMYFUNCTION("""COMPUTED_VALUE"""),"Post 8")</f>
        <v>Post 8</v>
      </c>
      <c r="C360" s="2" t="str">
        <f>IFERROR(__xludf.DUMMYFUNCTION("""COMPUTED_VALUE"""),"LAG 20")</f>
        <v>LAG 20</v>
      </c>
      <c r="D360" s="2">
        <f>IFERROR(__xludf.DUMMYFUNCTION("""COMPUTED_VALUE"""),12.0)</f>
        <v>12</v>
      </c>
      <c r="E360" s="2" t="str">
        <f>IFERROR(__xludf.DUMMYFUNCTION("""COMPUTED_VALUE"""),"Damelag")</f>
        <v>Damelag</v>
      </c>
    </row>
    <row r="361" ht="15.75" customHeight="1">
      <c r="A361" s="18">
        <f>IFERROR(__xludf.DUMMYFUNCTION("""COMPUTED_VALUE"""),45857.53789125)</f>
        <v>45857.53789</v>
      </c>
      <c r="B361" s="2" t="str">
        <f>IFERROR(__xludf.DUMMYFUNCTION("""COMPUTED_VALUE"""),"Post 13")</f>
        <v>Post 13</v>
      </c>
      <c r="C361" s="2" t="str">
        <f>IFERROR(__xludf.DUMMYFUNCTION("""COMPUTED_VALUE"""),"LAG 2")</f>
        <v>LAG 2</v>
      </c>
      <c r="D361" s="2">
        <f>IFERROR(__xludf.DUMMYFUNCTION("""COMPUTED_VALUE"""),10.0)</f>
        <v>10</v>
      </c>
      <c r="E361" s="2" t="str">
        <f>IFERROR(__xludf.DUMMYFUNCTION("""COMPUTED_VALUE"""),"Damelag")</f>
        <v>Damelag</v>
      </c>
    </row>
    <row r="362" ht="15.75" customHeight="1">
      <c r="A362" s="18">
        <f>IFERROR(__xludf.DUMMYFUNCTION("""COMPUTED_VALUE"""),45857.537957719906)</f>
        <v>45857.53796</v>
      </c>
      <c r="B362" s="2" t="str">
        <f>IFERROR(__xludf.DUMMYFUNCTION("""COMPUTED_VALUE"""),"Post 6")</f>
        <v>Post 6</v>
      </c>
      <c r="C362" s="2" t="str">
        <f>IFERROR(__xludf.DUMMYFUNCTION("""COMPUTED_VALUE"""),"LAG 45")</f>
        <v>LAG 45</v>
      </c>
      <c r="D362" s="2">
        <f>IFERROR(__xludf.DUMMYFUNCTION("""COMPUTED_VALUE"""),20.0)</f>
        <v>20</v>
      </c>
      <c r="E362" s="2" t="str">
        <f>IFERROR(__xludf.DUMMYFUNCTION("""COMPUTED_VALUE"""),"Damelag")</f>
        <v>Damelag</v>
      </c>
    </row>
    <row r="363" ht="15.75" customHeight="1">
      <c r="A363" s="18">
        <f>IFERROR(__xludf.DUMMYFUNCTION("""COMPUTED_VALUE"""),45857.53805028935)</f>
        <v>45857.53805</v>
      </c>
      <c r="B363" s="2" t="str">
        <f>IFERROR(__xludf.DUMMYFUNCTION("""COMPUTED_VALUE"""),"Post 18")</f>
        <v>Post 18</v>
      </c>
      <c r="C363" s="2" t="str">
        <f>IFERROR(__xludf.DUMMYFUNCTION("""COMPUTED_VALUE"""),"LAG 63")</f>
        <v>LAG 63</v>
      </c>
      <c r="D363" s="2">
        <f>IFERROR(__xludf.DUMMYFUNCTION("""COMPUTED_VALUE"""),7.0)</f>
        <v>7</v>
      </c>
      <c r="E363" s="2" t="str">
        <f>IFERROR(__xludf.DUMMYFUNCTION("""COMPUTED_VALUE"""),"Mixlag")</f>
        <v>Mixlag</v>
      </c>
    </row>
    <row r="364" ht="15.75" customHeight="1">
      <c r="A364" s="18">
        <f>IFERROR(__xludf.DUMMYFUNCTION("""COMPUTED_VALUE"""),45857.53807898148)</f>
        <v>45857.53808</v>
      </c>
      <c r="B364" s="2" t="str">
        <f>IFERROR(__xludf.DUMMYFUNCTION("""COMPUTED_VALUE"""),"Post 12")</f>
        <v>Post 12</v>
      </c>
      <c r="C364" s="2" t="str">
        <f>IFERROR(__xludf.DUMMYFUNCTION("""COMPUTED_VALUE"""),"LAG 27")</f>
        <v>LAG 27</v>
      </c>
      <c r="D364" s="2">
        <f>IFERROR(__xludf.DUMMYFUNCTION("""COMPUTED_VALUE"""),17.0)</f>
        <v>17</v>
      </c>
      <c r="E364" s="2" t="str">
        <f>IFERROR(__xludf.DUMMYFUNCTION("""COMPUTED_VALUE"""),"Damelag")</f>
        <v>Damelag</v>
      </c>
    </row>
    <row r="365" ht="15.75" customHeight="1">
      <c r="A365" s="18">
        <f>IFERROR(__xludf.DUMMYFUNCTION("""COMPUTED_VALUE"""),45857.5384591551)</f>
        <v>45857.53846</v>
      </c>
      <c r="B365" s="2" t="str">
        <f>IFERROR(__xludf.DUMMYFUNCTION("""COMPUTED_VALUE"""),"Post 12")</f>
        <v>Post 12</v>
      </c>
      <c r="C365" s="2" t="str">
        <f>IFERROR(__xludf.DUMMYFUNCTION("""COMPUTED_VALUE"""),"LAG 28")</f>
        <v>LAG 28</v>
      </c>
      <c r="D365" s="2">
        <f>IFERROR(__xludf.DUMMYFUNCTION("""COMPUTED_VALUE"""),10.0)</f>
        <v>10</v>
      </c>
      <c r="E365" s="2" t="str">
        <f>IFERROR(__xludf.DUMMYFUNCTION("""COMPUTED_VALUE"""),"Damelag")</f>
        <v>Damelag</v>
      </c>
    </row>
    <row r="366" ht="15.75" customHeight="1">
      <c r="A366" s="18">
        <f>IFERROR(__xludf.DUMMYFUNCTION("""COMPUTED_VALUE"""),45857.53853193287)</f>
        <v>45857.53853</v>
      </c>
      <c r="B366" s="2" t="str">
        <f>IFERROR(__xludf.DUMMYFUNCTION("""COMPUTED_VALUE"""),"Post 4")</f>
        <v>Post 4</v>
      </c>
      <c r="C366" s="2" t="str">
        <f>IFERROR(__xludf.DUMMYFUNCTION("""COMPUTED_VALUE"""),"LAG 48")</f>
        <v>LAG 48</v>
      </c>
      <c r="D366" s="2">
        <f>IFERROR(__xludf.DUMMYFUNCTION("""COMPUTED_VALUE"""),10.0)</f>
        <v>10</v>
      </c>
      <c r="E366" s="2" t="str">
        <f>IFERROR(__xludf.DUMMYFUNCTION("""COMPUTED_VALUE"""),"Damelag")</f>
        <v>Damelag</v>
      </c>
    </row>
    <row r="367" ht="15.75" customHeight="1">
      <c r="A367" s="18">
        <f>IFERROR(__xludf.DUMMYFUNCTION("""COMPUTED_VALUE"""),45857.539519247686)</f>
        <v>45857.53952</v>
      </c>
      <c r="B367" s="2" t="str">
        <f>IFERROR(__xludf.DUMMYFUNCTION("""COMPUTED_VALUE"""),"Post 8")</f>
        <v>Post 8</v>
      </c>
      <c r="C367" s="2" t="str">
        <f>IFERROR(__xludf.DUMMYFUNCTION("""COMPUTED_VALUE"""),"LAG 70")</f>
        <v>LAG 70</v>
      </c>
      <c r="D367" s="2">
        <f>IFERROR(__xludf.DUMMYFUNCTION("""COMPUTED_VALUE"""),7.0)</f>
        <v>7</v>
      </c>
      <c r="E367" s="2" t="str">
        <f>IFERROR(__xludf.DUMMYFUNCTION("""COMPUTED_VALUE"""),"Mixlag")</f>
        <v>Mixlag</v>
      </c>
    </row>
    <row r="368" ht="15.75" customHeight="1">
      <c r="A368" s="18">
        <f>IFERROR(__xludf.DUMMYFUNCTION("""COMPUTED_VALUE"""),45857.53980903935)</f>
        <v>45857.53981</v>
      </c>
      <c r="B368" s="2" t="str">
        <f>IFERROR(__xludf.DUMMYFUNCTION("""COMPUTED_VALUE"""),"Post 10")</f>
        <v>Post 10</v>
      </c>
      <c r="C368" s="2" t="str">
        <f>IFERROR(__xludf.DUMMYFUNCTION("""COMPUTED_VALUE"""),"LAG 14")</f>
        <v>LAG 14</v>
      </c>
      <c r="D368" s="2">
        <f>IFERROR(__xludf.DUMMYFUNCTION("""COMPUTED_VALUE"""),15.0)</f>
        <v>15</v>
      </c>
      <c r="E368" s="2" t="str">
        <f>IFERROR(__xludf.DUMMYFUNCTION("""COMPUTED_VALUE"""),"Mixlag")</f>
        <v>Mixlag</v>
      </c>
    </row>
    <row r="369" ht="15.75" customHeight="1">
      <c r="A369" s="18">
        <f>IFERROR(__xludf.DUMMYFUNCTION("""COMPUTED_VALUE"""),45857.540276354164)</f>
        <v>45857.54028</v>
      </c>
      <c r="B369" s="2" t="str">
        <f>IFERROR(__xludf.DUMMYFUNCTION("""COMPUTED_VALUE"""),"Post 3")</f>
        <v>Post 3</v>
      </c>
      <c r="C369" s="2" t="str">
        <f>IFERROR(__xludf.DUMMYFUNCTION("""COMPUTED_VALUE"""),"LAG 76")</f>
        <v>LAG 76</v>
      </c>
      <c r="D369" s="2">
        <f>IFERROR(__xludf.DUMMYFUNCTION("""COMPUTED_VALUE"""),8.0)</f>
        <v>8</v>
      </c>
      <c r="E369" s="2" t="str">
        <f>IFERROR(__xludf.DUMMYFUNCTION("""COMPUTED_VALUE"""),"Mixlag")</f>
        <v>Mixlag</v>
      </c>
    </row>
    <row r="370" ht="15.75" customHeight="1">
      <c r="A370" s="18">
        <f>IFERROR(__xludf.DUMMYFUNCTION("""COMPUTED_VALUE"""),45857.540484513884)</f>
        <v>45857.54048</v>
      </c>
      <c r="B370" s="2" t="str">
        <f>IFERROR(__xludf.DUMMYFUNCTION("""COMPUTED_VALUE"""),"Post 10")</f>
        <v>Post 10</v>
      </c>
      <c r="C370" s="2" t="str">
        <f>IFERROR(__xludf.DUMMYFUNCTION("""COMPUTED_VALUE"""),"LAG 65")</f>
        <v>LAG 65</v>
      </c>
      <c r="D370" s="2">
        <f>IFERROR(__xludf.DUMMYFUNCTION("""COMPUTED_VALUE"""),15.0)</f>
        <v>15</v>
      </c>
      <c r="E370" s="2" t="str">
        <f>IFERROR(__xludf.DUMMYFUNCTION("""COMPUTED_VALUE"""),"Mixlag")</f>
        <v>Mixlag</v>
      </c>
    </row>
    <row r="371" ht="15.75" customHeight="1">
      <c r="A371" s="18">
        <f>IFERROR(__xludf.DUMMYFUNCTION("""COMPUTED_VALUE"""),45857.54066438657)</f>
        <v>45857.54066</v>
      </c>
      <c r="B371" s="2" t="str">
        <f>IFERROR(__xludf.DUMMYFUNCTION("""COMPUTED_VALUE"""),"Post 15")</f>
        <v>Post 15</v>
      </c>
      <c r="C371" s="2" t="str">
        <f>IFERROR(__xludf.DUMMYFUNCTION("""COMPUTED_VALUE"""),"LAG 13")</f>
        <v>LAG 13</v>
      </c>
      <c r="D371" s="2">
        <f>IFERROR(__xludf.DUMMYFUNCTION("""COMPUTED_VALUE"""),20.0)</f>
        <v>20</v>
      </c>
      <c r="E371" s="2" t="str">
        <f>IFERROR(__xludf.DUMMYFUNCTION("""COMPUTED_VALUE"""),"Herrelag")</f>
        <v>Herrelag</v>
      </c>
    </row>
    <row r="372" ht="15.75" customHeight="1">
      <c r="A372" s="18">
        <f>IFERROR(__xludf.DUMMYFUNCTION("""COMPUTED_VALUE"""),45857.54080986111)</f>
        <v>45857.54081</v>
      </c>
      <c r="B372" s="2" t="str">
        <f>IFERROR(__xludf.DUMMYFUNCTION("""COMPUTED_VALUE"""),"Post 12")</f>
        <v>Post 12</v>
      </c>
      <c r="C372" s="2" t="str">
        <f>IFERROR(__xludf.DUMMYFUNCTION("""COMPUTED_VALUE"""),"LAG 81")</f>
        <v>LAG 81</v>
      </c>
      <c r="D372" s="2">
        <f>IFERROR(__xludf.DUMMYFUNCTION("""COMPUTED_VALUE"""),11.0)</f>
        <v>11</v>
      </c>
      <c r="E372" s="2" t="str">
        <f>IFERROR(__xludf.DUMMYFUNCTION("""COMPUTED_VALUE"""),"Herrelag")</f>
        <v>Herrelag</v>
      </c>
    </row>
    <row r="373" ht="15.75" customHeight="1">
      <c r="A373" s="18">
        <f>IFERROR(__xludf.DUMMYFUNCTION("""COMPUTED_VALUE"""),45857.54123674768)</f>
        <v>45857.54124</v>
      </c>
      <c r="B373" s="2" t="str">
        <f>IFERROR(__xludf.DUMMYFUNCTION("""COMPUTED_VALUE"""),"Post 8")</f>
        <v>Post 8</v>
      </c>
      <c r="C373" s="2" t="str">
        <f>IFERROR(__xludf.DUMMYFUNCTION("""COMPUTED_VALUE"""),"LAG 12")</f>
        <v>LAG 12</v>
      </c>
      <c r="D373" s="2">
        <f>IFERROR(__xludf.DUMMYFUNCTION("""COMPUTED_VALUE"""),9.0)</f>
        <v>9</v>
      </c>
      <c r="E373" s="2" t="str">
        <f>IFERROR(__xludf.DUMMYFUNCTION("""COMPUTED_VALUE"""),"Damelag")</f>
        <v>Damelag</v>
      </c>
    </row>
    <row r="374" ht="15.75" customHeight="1">
      <c r="A374" s="18">
        <f>IFERROR(__xludf.DUMMYFUNCTION("""COMPUTED_VALUE"""),45857.54142068287)</f>
        <v>45857.54142</v>
      </c>
      <c r="B374" s="2" t="str">
        <f>IFERROR(__xludf.DUMMYFUNCTION("""COMPUTED_VALUE"""),"Post 22")</f>
        <v>Post 22</v>
      </c>
      <c r="C374" s="2" t="str">
        <f>IFERROR(__xludf.DUMMYFUNCTION("""COMPUTED_VALUE"""),"LAG 12")</f>
        <v>LAG 12</v>
      </c>
      <c r="D374" s="2">
        <f>IFERROR(__xludf.DUMMYFUNCTION("""COMPUTED_VALUE"""),10.0)</f>
        <v>10</v>
      </c>
      <c r="E374" s="2" t="str">
        <f>IFERROR(__xludf.DUMMYFUNCTION("""COMPUTED_VALUE"""),"Damelag")</f>
        <v>Damelag</v>
      </c>
    </row>
    <row r="375" ht="15.75" customHeight="1">
      <c r="A375" s="18">
        <f>IFERROR(__xludf.DUMMYFUNCTION("""COMPUTED_VALUE"""),45857.54143055556)</f>
        <v>45857.54143</v>
      </c>
      <c r="B375" s="2" t="str">
        <f>IFERROR(__xludf.DUMMYFUNCTION("""COMPUTED_VALUE"""),"Post 15")</f>
        <v>Post 15</v>
      </c>
      <c r="C375" s="2" t="str">
        <f>IFERROR(__xludf.DUMMYFUNCTION("""COMPUTED_VALUE"""),"LAG 66")</f>
        <v>LAG 66</v>
      </c>
      <c r="D375" s="2">
        <f>IFERROR(__xludf.DUMMYFUNCTION("""COMPUTED_VALUE"""),20.0)</f>
        <v>20</v>
      </c>
      <c r="E375" s="2" t="str">
        <f>IFERROR(__xludf.DUMMYFUNCTION("""COMPUTED_VALUE"""),"Damelag")</f>
        <v>Damelag</v>
      </c>
    </row>
    <row r="376" ht="15.75" customHeight="1">
      <c r="A376" s="18">
        <f>IFERROR(__xludf.DUMMYFUNCTION("""COMPUTED_VALUE"""),45857.54152722222)</f>
        <v>45857.54153</v>
      </c>
      <c r="B376" s="2" t="str">
        <f>IFERROR(__xludf.DUMMYFUNCTION("""COMPUTED_VALUE"""),"Post 1")</f>
        <v>Post 1</v>
      </c>
      <c r="C376" s="2" t="str">
        <f>IFERROR(__xludf.DUMMYFUNCTION("""COMPUTED_VALUE"""),"LAG 56")</f>
        <v>LAG 56</v>
      </c>
      <c r="D376" s="2">
        <f>IFERROR(__xludf.DUMMYFUNCTION("""COMPUTED_VALUE"""),8.0)</f>
        <v>8</v>
      </c>
      <c r="E376" s="2" t="str">
        <f>IFERROR(__xludf.DUMMYFUNCTION("""COMPUTED_VALUE"""),"Mixlag")</f>
        <v>Mixlag</v>
      </c>
    </row>
    <row r="377" ht="15.75" customHeight="1">
      <c r="A377" s="18">
        <f>IFERROR(__xludf.DUMMYFUNCTION("""COMPUTED_VALUE"""),45857.54166466436)</f>
        <v>45857.54166</v>
      </c>
      <c r="B377" s="2" t="str">
        <f>IFERROR(__xludf.DUMMYFUNCTION("""COMPUTED_VALUE"""),"Post 12")</f>
        <v>Post 12</v>
      </c>
      <c r="C377" s="2" t="str">
        <f>IFERROR(__xludf.DUMMYFUNCTION("""COMPUTED_VALUE"""),"LAG 3")</f>
        <v>LAG 3</v>
      </c>
      <c r="D377" s="2">
        <f>IFERROR(__xludf.DUMMYFUNCTION("""COMPUTED_VALUE"""),17.0)</f>
        <v>17</v>
      </c>
      <c r="E377" s="2" t="str">
        <f>IFERROR(__xludf.DUMMYFUNCTION("""COMPUTED_VALUE"""),"Damelag")</f>
        <v>Damelag</v>
      </c>
    </row>
    <row r="378" ht="15.75" customHeight="1">
      <c r="A378" s="18">
        <f>IFERROR(__xludf.DUMMYFUNCTION("""COMPUTED_VALUE"""),45857.54169378472)</f>
        <v>45857.54169</v>
      </c>
      <c r="B378" s="2" t="str">
        <f>IFERROR(__xludf.DUMMYFUNCTION("""COMPUTED_VALUE"""),"Post 22")</f>
        <v>Post 22</v>
      </c>
      <c r="C378" s="2" t="str">
        <f>IFERROR(__xludf.DUMMYFUNCTION("""COMPUTED_VALUE"""),"LAG 16")</f>
        <v>LAG 16</v>
      </c>
      <c r="D378" s="2">
        <f>IFERROR(__xludf.DUMMYFUNCTION("""COMPUTED_VALUE"""),20.0)</f>
        <v>20</v>
      </c>
      <c r="E378" s="2" t="str">
        <f>IFERROR(__xludf.DUMMYFUNCTION("""COMPUTED_VALUE"""),"Herrelag")</f>
        <v>Herrelag</v>
      </c>
    </row>
    <row r="379" ht="15.75" customHeight="1">
      <c r="A379" s="18">
        <f>IFERROR(__xludf.DUMMYFUNCTION("""COMPUTED_VALUE"""),45857.54173509259)</f>
        <v>45857.54174</v>
      </c>
      <c r="B379" s="2" t="str">
        <f>IFERROR(__xludf.DUMMYFUNCTION("""COMPUTED_VALUE"""),"Post 9")</f>
        <v>Post 9</v>
      </c>
      <c r="C379" s="2" t="str">
        <f>IFERROR(__xludf.DUMMYFUNCTION("""COMPUTED_VALUE"""),"LAG 10")</f>
        <v>LAG 10</v>
      </c>
      <c r="D379" s="2">
        <f>IFERROR(__xludf.DUMMYFUNCTION("""COMPUTED_VALUE"""),28.0)</f>
        <v>28</v>
      </c>
      <c r="E379" s="2" t="str">
        <f>IFERROR(__xludf.DUMMYFUNCTION("""COMPUTED_VALUE"""),"Herrelag")</f>
        <v>Herrelag</v>
      </c>
    </row>
    <row r="380" ht="15.75" customHeight="1">
      <c r="A380" s="18">
        <f>IFERROR(__xludf.DUMMYFUNCTION("""COMPUTED_VALUE"""),45857.541880034725)</f>
        <v>45857.54188</v>
      </c>
      <c r="B380" s="2" t="str">
        <f>IFERROR(__xludf.DUMMYFUNCTION("""COMPUTED_VALUE"""),"Post 15")</f>
        <v>Post 15</v>
      </c>
      <c r="C380" s="2" t="str">
        <f>IFERROR(__xludf.DUMMYFUNCTION("""COMPUTED_VALUE"""),"LAG 31")</f>
        <v>LAG 31</v>
      </c>
      <c r="D380" s="2">
        <f>IFERROR(__xludf.DUMMYFUNCTION("""COMPUTED_VALUE"""),5.0)</f>
        <v>5</v>
      </c>
      <c r="E380" s="2" t="str">
        <f>IFERROR(__xludf.DUMMYFUNCTION("""COMPUTED_VALUE"""),"Mixlag")</f>
        <v>Mixlag</v>
      </c>
    </row>
    <row r="381" ht="15.75" customHeight="1">
      <c r="A381" s="18">
        <f>IFERROR(__xludf.DUMMYFUNCTION("""COMPUTED_VALUE"""),45857.541880590274)</f>
        <v>45857.54188</v>
      </c>
      <c r="B381" s="2" t="str">
        <f>IFERROR(__xludf.DUMMYFUNCTION("""COMPUTED_VALUE"""),"Post 22")</f>
        <v>Post 22</v>
      </c>
      <c r="C381" s="2" t="str">
        <f>IFERROR(__xludf.DUMMYFUNCTION("""COMPUTED_VALUE"""),"LAG 17")</f>
        <v>LAG 17</v>
      </c>
      <c r="D381" s="2">
        <f>IFERROR(__xludf.DUMMYFUNCTION("""COMPUTED_VALUE"""),20.0)</f>
        <v>20</v>
      </c>
      <c r="E381" s="2" t="str">
        <f>IFERROR(__xludf.DUMMYFUNCTION("""COMPUTED_VALUE"""),"Damelag")</f>
        <v>Damelag</v>
      </c>
    </row>
    <row r="382" ht="15.75" customHeight="1">
      <c r="A382" s="18">
        <f>IFERROR(__xludf.DUMMYFUNCTION("""COMPUTED_VALUE"""),45857.54210047454)</f>
        <v>45857.5421</v>
      </c>
      <c r="B382" s="2" t="str">
        <f>IFERROR(__xludf.DUMMYFUNCTION("""COMPUTED_VALUE"""),"Post 22")</f>
        <v>Post 22</v>
      </c>
      <c r="C382" s="2" t="str">
        <f>IFERROR(__xludf.DUMMYFUNCTION("""COMPUTED_VALUE"""),"LAG 78")</f>
        <v>LAG 78</v>
      </c>
      <c r="D382" s="2">
        <f>IFERROR(__xludf.DUMMYFUNCTION("""COMPUTED_VALUE"""),20.0)</f>
        <v>20</v>
      </c>
      <c r="E382" s="2" t="str">
        <f>IFERROR(__xludf.DUMMYFUNCTION("""COMPUTED_VALUE"""),"Damelag")</f>
        <v>Damelag</v>
      </c>
    </row>
    <row r="383" ht="15.75" customHeight="1">
      <c r="A383" s="18">
        <f>IFERROR(__xludf.DUMMYFUNCTION("""COMPUTED_VALUE"""),45857.54217570602)</f>
        <v>45857.54218</v>
      </c>
      <c r="B383" s="2" t="str">
        <f>IFERROR(__xludf.DUMMYFUNCTION("""COMPUTED_VALUE"""),"Post 22")</f>
        <v>Post 22</v>
      </c>
      <c r="C383" s="2" t="str">
        <f>IFERROR(__xludf.DUMMYFUNCTION("""COMPUTED_VALUE"""),"LAG 26")</f>
        <v>LAG 26</v>
      </c>
      <c r="D383" s="2">
        <f>IFERROR(__xludf.DUMMYFUNCTION("""COMPUTED_VALUE"""),10.0)</f>
        <v>10</v>
      </c>
      <c r="E383" s="2" t="str">
        <f>IFERROR(__xludf.DUMMYFUNCTION("""COMPUTED_VALUE"""),"Damelag")</f>
        <v>Damelag</v>
      </c>
    </row>
    <row r="384" ht="15.75" customHeight="1">
      <c r="A384" s="18">
        <f>IFERROR(__xludf.DUMMYFUNCTION("""COMPUTED_VALUE"""),45857.5422669213)</f>
        <v>45857.54227</v>
      </c>
      <c r="B384" s="2" t="str">
        <f>IFERROR(__xludf.DUMMYFUNCTION("""COMPUTED_VALUE"""),"Post 15")</f>
        <v>Post 15</v>
      </c>
      <c r="C384" s="2" t="str">
        <f>IFERROR(__xludf.DUMMYFUNCTION("""COMPUTED_VALUE"""),"LAG 73")</f>
        <v>LAG 73</v>
      </c>
      <c r="D384" s="2">
        <f>IFERROR(__xludf.DUMMYFUNCTION("""COMPUTED_VALUE"""),15.0)</f>
        <v>15</v>
      </c>
      <c r="E384" s="2" t="str">
        <f>IFERROR(__xludf.DUMMYFUNCTION("""COMPUTED_VALUE"""),"Mixlag")</f>
        <v>Mixlag</v>
      </c>
    </row>
    <row r="385" ht="15.75" customHeight="1">
      <c r="A385" s="18">
        <f>IFERROR(__xludf.DUMMYFUNCTION("""COMPUTED_VALUE"""),45857.54232966436)</f>
        <v>45857.54233</v>
      </c>
      <c r="B385" s="2" t="str">
        <f>IFERROR(__xludf.DUMMYFUNCTION("""COMPUTED_VALUE"""),"Post 22")</f>
        <v>Post 22</v>
      </c>
      <c r="C385" s="2" t="str">
        <f>IFERROR(__xludf.DUMMYFUNCTION("""COMPUTED_VALUE"""),"LAG 27")</f>
        <v>LAG 27</v>
      </c>
      <c r="D385" s="2">
        <f>IFERROR(__xludf.DUMMYFUNCTION("""COMPUTED_VALUE"""),20.0)</f>
        <v>20</v>
      </c>
      <c r="E385" s="2" t="str">
        <f>IFERROR(__xludf.DUMMYFUNCTION("""COMPUTED_VALUE"""),"Damelag")</f>
        <v>Damelag</v>
      </c>
    </row>
    <row r="386" ht="15.75" customHeight="1">
      <c r="A386" s="18">
        <f>IFERROR(__xludf.DUMMYFUNCTION("""COMPUTED_VALUE"""),45857.54239665509)</f>
        <v>45857.5424</v>
      </c>
      <c r="B386" s="2" t="str">
        <f>IFERROR(__xludf.DUMMYFUNCTION("""COMPUTED_VALUE"""),"Post 18")</f>
        <v>Post 18</v>
      </c>
      <c r="C386" s="2" t="str">
        <f>IFERROR(__xludf.DUMMYFUNCTION("""COMPUTED_VALUE"""),"LAG 49")</f>
        <v>LAG 49</v>
      </c>
      <c r="D386" s="2">
        <f>IFERROR(__xludf.DUMMYFUNCTION("""COMPUTED_VALUE"""),12.0)</f>
        <v>12</v>
      </c>
      <c r="E386" s="2" t="str">
        <f>IFERROR(__xludf.DUMMYFUNCTION("""COMPUTED_VALUE"""),"Damelag")</f>
        <v>Damelag</v>
      </c>
    </row>
    <row r="387" ht="15.75" customHeight="1">
      <c r="A387" s="18">
        <f>IFERROR(__xludf.DUMMYFUNCTION("""COMPUTED_VALUE"""),45857.542493113426)</f>
        <v>45857.54249</v>
      </c>
      <c r="B387" s="2" t="str">
        <f>IFERROR(__xludf.DUMMYFUNCTION("""COMPUTED_VALUE"""),"Post 22")</f>
        <v>Post 22</v>
      </c>
      <c r="C387" s="2" t="str">
        <f>IFERROR(__xludf.DUMMYFUNCTION("""COMPUTED_VALUE"""),"LAG 28")</f>
        <v>LAG 28</v>
      </c>
      <c r="D387" s="2">
        <f>IFERROR(__xludf.DUMMYFUNCTION("""COMPUTED_VALUE"""),20.0)</f>
        <v>20</v>
      </c>
      <c r="E387" s="2" t="str">
        <f>IFERROR(__xludf.DUMMYFUNCTION("""COMPUTED_VALUE"""),"Damelag")</f>
        <v>Damelag</v>
      </c>
    </row>
    <row r="388" ht="15.75" customHeight="1">
      <c r="A388" s="18">
        <f>IFERROR(__xludf.DUMMYFUNCTION("""COMPUTED_VALUE"""),45857.54259650463)</f>
        <v>45857.5426</v>
      </c>
      <c r="B388" s="2" t="str">
        <f>IFERROR(__xludf.DUMMYFUNCTION("""COMPUTED_VALUE"""),"Post 15")</f>
        <v>Post 15</v>
      </c>
      <c r="C388" s="2" t="str">
        <f>IFERROR(__xludf.DUMMYFUNCTION("""COMPUTED_VALUE"""),"LAG 54")</f>
        <v>LAG 54</v>
      </c>
      <c r="D388" s="2">
        <f>IFERROR(__xludf.DUMMYFUNCTION("""COMPUTED_VALUE"""),20.0)</f>
        <v>20</v>
      </c>
      <c r="E388" s="2" t="str">
        <f>IFERROR(__xludf.DUMMYFUNCTION("""COMPUTED_VALUE"""),"Damelag")</f>
        <v>Damelag</v>
      </c>
    </row>
    <row r="389" ht="15.75" customHeight="1">
      <c r="A389" s="18">
        <f>IFERROR(__xludf.DUMMYFUNCTION("""COMPUTED_VALUE"""),45857.54265855324)</f>
        <v>45857.54266</v>
      </c>
      <c r="B389" s="2" t="str">
        <f>IFERROR(__xludf.DUMMYFUNCTION("""COMPUTED_VALUE"""),"Post 22")</f>
        <v>Post 22</v>
      </c>
      <c r="C389" s="2" t="str">
        <f>IFERROR(__xludf.DUMMYFUNCTION("""COMPUTED_VALUE"""),"LAG 31")</f>
        <v>LAG 31</v>
      </c>
      <c r="D389" s="2">
        <f>IFERROR(__xludf.DUMMYFUNCTION("""COMPUTED_VALUE"""),10.0)</f>
        <v>10</v>
      </c>
      <c r="E389" s="2" t="str">
        <f>IFERROR(__xludf.DUMMYFUNCTION("""COMPUTED_VALUE"""),"Mixlag")</f>
        <v>Mixlag</v>
      </c>
    </row>
    <row r="390" ht="15.75" customHeight="1">
      <c r="A390" s="18">
        <f>IFERROR(__xludf.DUMMYFUNCTION("""COMPUTED_VALUE"""),45857.542670173614)</f>
        <v>45857.54267</v>
      </c>
      <c r="B390" s="2" t="str">
        <f>IFERROR(__xludf.DUMMYFUNCTION("""COMPUTED_VALUE"""),"Post 13")</f>
        <v>Post 13</v>
      </c>
      <c r="C390" s="2" t="str">
        <f>IFERROR(__xludf.DUMMYFUNCTION("""COMPUTED_VALUE"""),"LAG 34")</f>
        <v>LAG 34</v>
      </c>
      <c r="D390" s="2">
        <f>IFERROR(__xludf.DUMMYFUNCTION("""COMPUTED_VALUE"""),25.0)</f>
        <v>25</v>
      </c>
      <c r="E390" s="2" t="str">
        <f>IFERROR(__xludf.DUMMYFUNCTION("""COMPUTED_VALUE"""),"Damelag")</f>
        <v>Damelag</v>
      </c>
    </row>
    <row r="391" ht="15.75" customHeight="1">
      <c r="A391" s="18">
        <f>IFERROR(__xludf.DUMMYFUNCTION("""COMPUTED_VALUE"""),45857.54266998843)</f>
        <v>45857.54267</v>
      </c>
      <c r="B391" s="2" t="str">
        <f>IFERROR(__xludf.DUMMYFUNCTION("""COMPUTED_VALUE"""),"Post 6")</f>
        <v>Post 6</v>
      </c>
      <c r="C391" s="2" t="str">
        <f>IFERROR(__xludf.DUMMYFUNCTION("""COMPUTED_VALUE"""),"LAG 63")</f>
        <v>LAG 63</v>
      </c>
      <c r="D391" s="2">
        <f>IFERROR(__xludf.DUMMYFUNCTION("""COMPUTED_VALUE"""),20.0)</f>
        <v>20</v>
      </c>
      <c r="E391" s="2" t="str">
        <f>IFERROR(__xludf.DUMMYFUNCTION("""COMPUTED_VALUE"""),"Mixlag")</f>
        <v>Mixlag</v>
      </c>
    </row>
    <row r="392" ht="15.75" customHeight="1">
      <c r="A392" s="18">
        <f>IFERROR(__xludf.DUMMYFUNCTION("""COMPUTED_VALUE"""),45857.54273351852)</f>
        <v>45857.54273</v>
      </c>
      <c r="B392" s="2" t="str">
        <f>IFERROR(__xludf.DUMMYFUNCTION("""COMPUTED_VALUE"""),"Post 3")</f>
        <v>Post 3</v>
      </c>
      <c r="C392" s="2" t="str">
        <f>IFERROR(__xludf.DUMMYFUNCTION("""COMPUTED_VALUE"""),"LAG 37")</f>
        <v>LAG 37</v>
      </c>
      <c r="D392" s="2">
        <f>IFERROR(__xludf.DUMMYFUNCTION("""COMPUTED_VALUE"""),12.0)</f>
        <v>12</v>
      </c>
      <c r="E392" s="2" t="str">
        <f>IFERROR(__xludf.DUMMYFUNCTION("""COMPUTED_VALUE"""),"Herrelag")</f>
        <v>Herrelag</v>
      </c>
    </row>
    <row r="393" ht="15.75" customHeight="1">
      <c r="A393" s="18">
        <f>IFERROR(__xludf.DUMMYFUNCTION("""COMPUTED_VALUE"""),45857.542840752314)</f>
        <v>45857.54284</v>
      </c>
      <c r="B393" s="2" t="str">
        <f>IFERROR(__xludf.DUMMYFUNCTION("""COMPUTED_VALUE"""),"Post 22")</f>
        <v>Post 22</v>
      </c>
      <c r="C393" s="2" t="str">
        <f>IFERROR(__xludf.DUMMYFUNCTION("""COMPUTED_VALUE"""),"LAG 33")</f>
        <v>LAG 33</v>
      </c>
      <c r="D393" s="2">
        <f>IFERROR(__xludf.DUMMYFUNCTION("""COMPUTED_VALUE"""),10.0)</f>
        <v>10</v>
      </c>
      <c r="E393" s="2" t="str">
        <f>IFERROR(__xludf.DUMMYFUNCTION("""COMPUTED_VALUE"""),"Herrelag")</f>
        <v>Herrelag</v>
      </c>
    </row>
    <row r="394" ht="15.75" customHeight="1">
      <c r="A394" s="18">
        <f>IFERROR(__xludf.DUMMYFUNCTION("""COMPUTED_VALUE"""),45857.54297391204)</f>
        <v>45857.54297</v>
      </c>
      <c r="B394" s="2" t="str">
        <f>IFERROR(__xludf.DUMMYFUNCTION("""COMPUTED_VALUE"""),"Post 15")</f>
        <v>Post 15</v>
      </c>
      <c r="C394" s="2" t="str">
        <f>IFERROR(__xludf.DUMMYFUNCTION("""COMPUTED_VALUE"""),"LAG 78")</f>
        <v>LAG 78</v>
      </c>
      <c r="D394" s="2">
        <f>IFERROR(__xludf.DUMMYFUNCTION("""COMPUTED_VALUE"""),5.0)</f>
        <v>5</v>
      </c>
      <c r="E394" s="2" t="str">
        <f>IFERROR(__xludf.DUMMYFUNCTION("""COMPUTED_VALUE"""),"Damelag")</f>
        <v>Damelag</v>
      </c>
    </row>
    <row r="395" ht="15.75" customHeight="1">
      <c r="A395" s="18">
        <f>IFERROR(__xludf.DUMMYFUNCTION("""COMPUTED_VALUE"""),45857.54297364583)</f>
        <v>45857.54297</v>
      </c>
      <c r="B395" s="2" t="str">
        <f>IFERROR(__xludf.DUMMYFUNCTION("""COMPUTED_VALUE"""),"Post 22")</f>
        <v>Post 22</v>
      </c>
      <c r="C395" s="2" t="str">
        <f>IFERROR(__xludf.DUMMYFUNCTION("""COMPUTED_VALUE"""),"LAG 34")</f>
        <v>LAG 34</v>
      </c>
      <c r="D395" s="2">
        <f>IFERROR(__xludf.DUMMYFUNCTION("""COMPUTED_VALUE"""),20.0)</f>
        <v>20</v>
      </c>
      <c r="E395" s="2" t="str">
        <f>IFERROR(__xludf.DUMMYFUNCTION("""COMPUTED_VALUE"""),"Damelag")</f>
        <v>Damelag</v>
      </c>
    </row>
    <row r="396" ht="15.75" customHeight="1">
      <c r="A396" s="18">
        <f>IFERROR(__xludf.DUMMYFUNCTION("""COMPUTED_VALUE"""),45857.54302099537)</f>
        <v>45857.54302</v>
      </c>
      <c r="B396" s="2" t="str">
        <f>IFERROR(__xludf.DUMMYFUNCTION("""COMPUTED_VALUE"""),"Post 8")</f>
        <v>Post 8</v>
      </c>
      <c r="C396" s="2" t="str">
        <f>IFERROR(__xludf.DUMMYFUNCTION("""COMPUTED_VALUE"""),"LAG 30")</f>
        <v>LAG 30</v>
      </c>
      <c r="D396" s="2">
        <f>IFERROR(__xludf.DUMMYFUNCTION("""COMPUTED_VALUE"""),9.0)</f>
        <v>9</v>
      </c>
      <c r="E396" s="2" t="str">
        <f>IFERROR(__xludf.DUMMYFUNCTION("""COMPUTED_VALUE"""),"Damelag")</f>
        <v>Damelag</v>
      </c>
    </row>
    <row r="397" ht="15.75" customHeight="1">
      <c r="A397" s="18">
        <f>IFERROR(__xludf.DUMMYFUNCTION("""COMPUTED_VALUE"""),45857.54305143519)</f>
        <v>45857.54305</v>
      </c>
      <c r="B397" s="2" t="str">
        <f>IFERROR(__xludf.DUMMYFUNCTION("""COMPUTED_VALUE"""),"Post 4")</f>
        <v>Post 4</v>
      </c>
      <c r="C397" s="2" t="str">
        <f>IFERROR(__xludf.DUMMYFUNCTION("""COMPUTED_VALUE"""),"LAG 74")</f>
        <v>LAG 74</v>
      </c>
      <c r="D397" s="2">
        <f>IFERROR(__xludf.DUMMYFUNCTION("""COMPUTED_VALUE"""),15.0)</f>
        <v>15</v>
      </c>
      <c r="E397" s="2" t="str">
        <f>IFERROR(__xludf.DUMMYFUNCTION("""COMPUTED_VALUE"""),"Damelag")</f>
        <v>Damelag</v>
      </c>
    </row>
    <row r="398" ht="15.75" customHeight="1">
      <c r="A398" s="18">
        <f>IFERROR(__xludf.DUMMYFUNCTION("""COMPUTED_VALUE"""),45857.54315233797)</f>
        <v>45857.54315</v>
      </c>
      <c r="B398" s="2" t="str">
        <f>IFERROR(__xludf.DUMMYFUNCTION("""COMPUTED_VALUE"""),"Post 22")</f>
        <v>Post 22</v>
      </c>
      <c r="C398" s="2" t="str">
        <f>IFERROR(__xludf.DUMMYFUNCTION("""COMPUTED_VALUE"""),"LAG 39")</f>
        <v>LAG 39</v>
      </c>
      <c r="D398" s="2">
        <f>IFERROR(__xludf.DUMMYFUNCTION("""COMPUTED_VALUE"""),20.0)</f>
        <v>20</v>
      </c>
      <c r="E398" s="2" t="str">
        <f>IFERROR(__xludf.DUMMYFUNCTION("""COMPUTED_VALUE"""),"Herrelag")</f>
        <v>Herrelag</v>
      </c>
    </row>
    <row r="399" ht="15.75" customHeight="1">
      <c r="A399" s="18">
        <f>IFERROR(__xludf.DUMMYFUNCTION("""COMPUTED_VALUE"""),45857.54324341435)</f>
        <v>45857.54324</v>
      </c>
      <c r="B399" s="2" t="str">
        <f>IFERROR(__xludf.DUMMYFUNCTION("""COMPUTED_VALUE"""),"Post 12")</f>
        <v>Post 12</v>
      </c>
      <c r="C399" s="2" t="str">
        <f>IFERROR(__xludf.DUMMYFUNCTION("""COMPUTED_VALUE"""),"LAG 45")</f>
        <v>LAG 45</v>
      </c>
      <c r="D399" s="2">
        <f>IFERROR(__xludf.DUMMYFUNCTION("""COMPUTED_VALUE"""),12.0)</f>
        <v>12</v>
      </c>
      <c r="E399" s="2" t="str">
        <f>IFERROR(__xludf.DUMMYFUNCTION("""COMPUTED_VALUE"""),"Damelag")</f>
        <v>Damelag</v>
      </c>
    </row>
    <row r="400" ht="15.75" customHeight="1">
      <c r="A400" s="18">
        <f>IFERROR(__xludf.DUMMYFUNCTION("""COMPUTED_VALUE"""),45857.54328863426)</f>
        <v>45857.54329</v>
      </c>
      <c r="B400" s="2" t="str">
        <f>IFERROR(__xludf.DUMMYFUNCTION("""COMPUTED_VALUE"""),"Post 10")</f>
        <v>Post 10</v>
      </c>
      <c r="C400" s="2" t="str">
        <f>IFERROR(__xludf.DUMMYFUNCTION("""COMPUTED_VALUE"""),"LAG 17")</f>
        <v>LAG 17</v>
      </c>
      <c r="D400" s="2">
        <f>IFERROR(__xludf.DUMMYFUNCTION("""COMPUTED_VALUE"""),15.0)</f>
        <v>15</v>
      </c>
      <c r="E400" s="2" t="str">
        <f>IFERROR(__xludf.DUMMYFUNCTION("""COMPUTED_VALUE"""),"Damelag")</f>
        <v>Damelag</v>
      </c>
    </row>
    <row r="401" ht="15.75" customHeight="1">
      <c r="A401" s="18">
        <f>IFERROR(__xludf.DUMMYFUNCTION("""COMPUTED_VALUE"""),45857.54334413195)</f>
        <v>45857.54334</v>
      </c>
      <c r="B401" s="2" t="str">
        <f>IFERROR(__xludf.DUMMYFUNCTION("""COMPUTED_VALUE"""),"Post 22")</f>
        <v>Post 22</v>
      </c>
      <c r="C401" s="2" t="str">
        <f>IFERROR(__xludf.DUMMYFUNCTION("""COMPUTED_VALUE"""),"LAG 41")</f>
        <v>LAG 41</v>
      </c>
      <c r="D401" s="2">
        <f>IFERROR(__xludf.DUMMYFUNCTION("""COMPUTED_VALUE"""),20.0)</f>
        <v>20</v>
      </c>
      <c r="E401" s="2" t="str">
        <f>IFERROR(__xludf.DUMMYFUNCTION("""COMPUTED_VALUE"""),"Mixlag")</f>
        <v>Mixlag</v>
      </c>
    </row>
    <row r="402" ht="15.75" customHeight="1">
      <c r="A402" s="18">
        <f>IFERROR(__xludf.DUMMYFUNCTION("""COMPUTED_VALUE"""),45857.54352630787)</f>
        <v>45857.54353</v>
      </c>
      <c r="B402" s="2" t="str">
        <f>IFERROR(__xludf.DUMMYFUNCTION("""COMPUTED_VALUE"""),"Post 5")</f>
        <v>Post 5</v>
      </c>
      <c r="C402" s="2" t="str">
        <f>IFERROR(__xludf.DUMMYFUNCTION("""COMPUTED_VALUE"""),"LAG 3")</f>
        <v>LAG 3</v>
      </c>
      <c r="D402" s="2">
        <f>IFERROR(__xludf.DUMMYFUNCTION("""COMPUTED_VALUE"""),10.0)</f>
        <v>10</v>
      </c>
      <c r="E402" s="2" t="str">
        <f>IFERROR(__xludf.DUMMYFUNCTION("""COMPUTED_VALUE"""),"Damelag")</f>
        <v>Damelag</v>
      </c>
    </row>
    <row r="403" ht="15.75" customHeight="1">
      <c r="A403" s="18">
        <f>IFERROR(__xludf.DUMMYFUNCTION("""COMPUTED_VALUE"""),45857.543533495365)</f>
        <v>45857.54353</v>
      </c>
      <c r="B403" s="2" t="str">
        <f>IFERROR(__xludf.DUMMYFUNCTION("""COMPUTED_VALUE"""),"Post 10")</f>
        <v>Post 10</v>
      </c>
      <c r="C403" s="2" t="str">
        <f>IFERROR(__xludf.DUMMYFUNCTION("""COMPUTED_VALUE"""),"LAG 72")</f>
        <v>LAG 72</v>
      </c>
      <c r="D403" s="2">
        <f>IFERROR(__xludf.DUMMYFUNCTION("""COMPUTED_VALUE"""),15.0)</f>
        <v>15</v>
      </c>
      <c r="E403" s="2" t="str">
        <f>IFERROR(__xludf.DUMMYFUNCTION("""COMPUTED_VALUE"""),"Herrelag")</f>
        <v>Herrelag</v>
      </c>
    </row>
    <row r="404" ht="15.75" customHeight="1">
      <c r="A404" s="18">
        <f>IFERROR(__xludf.DUMMYFUNCTION("""COMPUTED_VALUE"""),45857.543552557865)</f>
        <v>45857.54355</v>
      </c>
      <c r="B404" s="2" t="str">
        <f>IFERROR(__xludf.DUMMYFUNCTION("""COMPUTED_VALUE"""),"Post 22")</f>
        <v>Post 22</v>
      </c>
      <c r="C404" s="2" t="str">
        <f>IFERROR(__xludf.DUMMYFUNCTION("""COMPUTED_VALUE"""),"LAG 42")</f>
        <v>LAG 42</v>
      </c>
      <c r="D404" s="2">
        <f>IFERROR(__xludf.DUMMYFUNCTION("""COMPUTED_VALUE"""),10.0)</f>
        <v>10</v>
      </c>
      <c r="E404" s="2" t="str">
        <f>IFERROR(__xludf.DUMMYFUNCTION("""COMPUTED_VALUE"""),"Damelag")</f>
        <v>Damelag</v>
      </c>
    </row>
    <row r="405" ht="15.75" customHeight="1">
      <c r="A405" s="18">
        <f>IFERROR(__xludf.DUMMYFUNCTION("""COMPUTED_VALUE"""),45857.54372523148)</f>
        <v>45857.54373</v>
      </c>
      <c r="B405" s="2" t="str">
        <f>IFERROR(__xludf.DUMMYFUNCTION("""COMPUTED_VALUE"""),"Post 5")</f>
        <v>Post 5</v>
      </c>
      <c r="C405" s="2" t="str">
        <f>IFERROR(__xludf.DUMMYFUNCTION("""COMPUTED_VALUE"""),"LAG 61")</f>
        <v>LAG 61</v>
      </c>
      <c r="D405" s="2">
        <f>IFERROR(__xludf.DUMMYFUNCTION("""COMPUTED_VALUE"""),10.0)</f>
        <v>10</v>
      </c>
      <c r="E405" s="2" t="str">
        <f>IFERROR(__xludf.DUMMYFUNCTION("""COMPUTED_VALUE"""),"Herrelag")</f>
        <v>Herrelag</v>
      </c>
    </row>
    <row r="406" ht="15.75" customHeight="1">
      <c r="A406" s="18">
        <f>IFERROR(__xludf.DUMMYFUNCTION("""COMPUTED_VALUE"""),45857.54373127315)</f>
        <v>45857.54373</v>
      </c>
      <c r="B406" s="2" t="str">
        <f>IFERROR(__xludf.DUMMYFUNCTION("""COMPUTED_VALUE"""),"Post 22")</f>
        <v>Post 22</v>
      </c>
      <c r="C406" s="2" t="str">
        <f>IFERROR(__xludf.DUMMYFUNCTION("""COMPUTED_VALUE"""),"LAG 45")</f>
        <v>LAG 45</v>
      </c>
      <c r="D406" s="2">
        <f>IFERROR(__xludf.DUMMYFUNCTION("""COMPUTED_VALUE"""),20.0)</f>
        <v>20</v>
      </c>
      <c r="E406" s="2" t="str">
        <f>IFERROR(__xludf.DUMMYFUNCTION("""COMPUTED_VALUE"""),"Damelag")</f>
        <v>Damelag</v>
      </c>
    </row>
    <row r="407" ht="15.75" customHeight="1">
      <c r="A407" s="18">
        <f>IFERROR(__xludf.DUMMYFUNCTION("""COMPUTED_VALUE"""),45857.54388326389)</f>
        <v>45857.54388</v>
      </c>
      <c r="B407" s="2" t="str">
        <f>IFERROR(__xludf.DUMMYFUNCTION("""COMPUTED_VALUE"""),"Post 22")</f>
        <v>Post 22</v>
      </c>
      <c r="C407" s="2" t="str">
        <f>IFERROR(__xludf.DUMMYFUNCTION("""COMPUTED_VALUE"""),"LAG 61")</f>
        <v>LAG 61</v>
      </c>
      <c r="D407" s="2">
        <f>IFERROR(__xludf.DUMMYFUNCTION("""COMPUTED_VALUE"""),20.0)</f>
        <v>20</v>
      </c>
      <c r="E407" s="2" t="str">
        <f>IFERROR(__xludf.DUMMYFUNCTION("""COMPUTED_VALUE"""),"Herrelag")</f>
        <v>Herrelag</v>
      </c>
    </row>
    <row r="408" ht="15.75" customHeight="1">
      <c r="A408" s="18">
        <f>IFERROR(__xludf.DUMMYFUNCTION("""COMPUTED_VALUE"""),45857.544059085645)</f>
        <v>45857.54406</v>
      </c>
      <c r="B408" s="2" t="str">
        <f>IFERROR(__xludf.DUMMYFUNCTION("""COMPUTED_VALUE"""),"Post 22")</f>
        <v>Post 22</v>
      </c>
      <c r="C408" s="2" t="str">
        <f>IFERROR(__xludf.DUMMYFUNCTION("""COMPUTED_VALUE"""),"LAG 67")</f>
        <v>LAG 67</v>
      </c>
      <c r="D408" s="2">
        <f>IFERROR(__xludf.DUMMYFUNCTION("""COMPUTED_VALUE"""),20.0)</f>
        <v>20</v>
      </c>
      <c r="E408" s="2" t="str">
        <f>IFERROR(__xludf.DUMMYFUNCTION("""COMPUTED_VALUE"""),"Damelag")</f>
        <v>Damelag</v>
      </c>
    </row>
    <row r="409" ht="15.75" customHeight="1">
      <c r="A409" s="18">
        <f>IFERROR(__xludf.DUMMYFUNCTION("""COMPUTED_VALUE"""),45857.54421061343)</f>
        <v>45857.54421</v>
      </c>
      <c r="B409" s="2" t="str">
        <f>IFERROR(__xludf.DUMMYFUNCTION("""COMPUTED_VALUE"""),"Post 22")</f>
        <v>Post 22</v>
      </c>
      <c r="C409" s="2" t="str">
        <f>IFERROR(__xludf.DUMMYFUNCTION("""COMPUTED_VALUE"""),"LAG 71")</f>
        <v>LAG 71</v>
      </c>
      <c r="D409" s="2">
        <f>IFERROR(__xludf.DUMMYFUNCTION("""COMPUTED_VALUE"""),10.0)</f>
        <v>10</v>
      </c>
      <c r="E409" s="2" t="str">
        <f>IFERROR(__xludf.DUMMYFUNCTION("""COMPUTED_VALUE"""),"Mixlag")</f>
        <v>Mixlag</v>
      </c>
    </row>
    <row r="410" ht="15.75" customHeight="1">
      <c r="A410" s="18">
        <f>IFERROR(__xludf.DUMMYFUNCTION("""COMPUTED_VALUE"""),45857.544229189814)</f>
        <v>45857.54423</v>
      </c>
      <c r="B410" s="2" t="str">
        <f>IFERROR(__xludf.DUMMYFUNCTION("""COMPUTED_VALUE"""),"Post 3")</f>
        <v>Post 3</v>
      </c>
      <c r="C410" s="2" t="str">
        <f>IFERROR(__xludf.DUMMYFUNCTION("""COMPUTED_VALUE"""),"LAG 75")</f>
        <v>LAG 75</v>
      </c>
      <c r="D410" s="2">
        <f>IFERROR(__xludf.DUMMYFUNCTION("""COMPUTED_VALUE"""),9.0)</f>
        <v>9</v>
      </c>
      <c r="E410" s="2" t="str">
        <f>IFERROR(__xludf.DUMMYFUNCTION("""COMPUTED_VALUE"""),"Herrelag")</f>
        <v>Herrelag</v>
      </c>
    </row>
    <row r="411" ht="15.75" customHeight="1">
      <c r="A411" s="18">
        <f>IFERROR(__xludf.DUMMYFUNCTION("""COMPUTED_VALUE"""),45857.544379259256)</f>
        <v>45857.54438</v>
      </c>
      <c r="B411" s="2" t="str">
        <f>IFERROR(__xludf.DUMMYFUNCTION("""COMPUTED_VALUE"""),"Post 22")</f>
        <v>Post 22</v>
      </c>
      <c r="C411" s="2" t="str">
        <f>IFERROR(__xludf.DUMMYFUNCTION("""COMPUTED_VALUE"""),"LAG 72")</f>
        <v>LAG 72</v>
      </c>
      <c r="D411" s="2">
        <f>IFERROR(__xludf.DUMMYFUNCTION("""COMPUTED_VALUE"""),10.0)</f>
        <v>10</v>
      </c>
      <c r="E411" s="2" t="str">
        <f>IFERROR(__xludf.DUMMYFUNCTION("""COMPUTED_VALUE"""),"Herrelag")</f>
        <v>Herrelag</v>
      </c>
    </row>
    <row r="412" ht="15.75" customHeight="1">
      <c r="A412" s="18">
        <f>IFERROR(__xludf.DUMMYFUNCTION("""COMPUTED_VALUE"""),45857.544414143515)</f>
        <v>45857.54441</v>
      </c>
      <c r="B412" s="2" t="str">
        <f>IFERROR(__xludf.DUMMYFUNCTION("""COMPUTED_VALUE"""),"Post 6")</f>
        <v>Post 6</v>
      </c>
      <c r="C412" s="2" t="str">
        <f>IFERROR(__xludf.DUMMYFUNCTION("""COMPUTED_VALUE"""),"LAG 49")</f>
        <v>LAG 49</v>
      </c>
      <c r="D412" s="2">
        <f>IFERROR(__xludf.DUMMYFUNCTION("""COMPUTED_VALUE"""),20.0)</f>
        <v>20</v>
      </c>
      <c r="E412" s="2" t="str">
        <f>IFERROR(__xludf.DUMMYFUNCTION("""COMPUTED_VALUE"""),"Damelag")</f>
        <v>Damelag</v>
      </c>
    </row>
    <row r="413" ht="15.75" customHeight="1">
      <c r="A413" s="18">
        <f>IFERROR(__xludf.DUMMYFUNCTION("""COMPUTED_VALUE"""),45857.544436516204)</f>
        <v>45857.54444</v>
      </c>
      <c r="B413" s="2" t="str">
        <f>IFERROR(__xludf.DUMMYFUNCTION("""COMPUTED_VALUE"""),"Post 4")</f>
        <v>Post 4</v>
      </c>
      <c r="C413" s="2" t="str">
        <f>IFERROR(__xludf.DUMMYFUNCTION("""COMPUTED_VALUE"""),"LAG 63")</f>
        <v>LAG 63</v>
      </c>
      <c r="D413" s="2">
        <f>IFERROR(__xludf.DUMMYFUNCTION("""COMPUTED_VALUE"""),15.0)</f>
        <v>15</v>
      </c>
      <c r="E413" s="2" t="str">
        <f>IFERROR(__xludf.DUMMYFUNCTION("""COMPUTED_VALUE"""),"Mixlag")</f>
        <v>Mixlag</v>
      </c>
    </row>
    <row r="414" ht="15.75" customHeight="1">
      <c r="A414" s="18">
        <f>IFERROR(__xludf.DUMMYFUNCTION("""COMPUTED_VALUE"""),45857.54464440972)</f>
        <v>45857.54464</v>
      </c>
      <c r="B414" s="2" t="str">
        <f>IFERROR(__xludf.DUMMYFUNCTION("""COMPUTED_VALUE"""),"Post 22")</f>
        <v>Post 22</v>
      </c>
      <c r="C414" s="2" t="str">
        <f>IFERROR(__xludf.DUMMYFUNCTION("""COMPUTED_VALUE"""),"LAG 75")</f>
        <v>LAG 75</v>
      </c>
      <c r="D414" s="2">
        <f>IFERROR(__xludf.DUMMYFUNCTION("""COMPUTED_VALUE"""),0.0)</f>
        <v>0</v>
      </c>
      <c r="E414" s="2" t="str">
        <f>IFERROR(__xludf.DUMMYFUNCTION("""COMPUTED_VALUE"""),"Mixlag")</f>
        <v>Mixlag</v>
      </c>
    </row>
    <row r="415" ht="15.75" customHeight="1">
      <c r="A415" s="18">
        <f>IFERROR(__xludf.DUMMYFUNCTION("""COMPUTED_VALUE"""),45857.544806412036)</f>
        <v>45857.54481</v>
      </c>
      <c r="B415" s="2" t="str">
        <f>IFERROR(__xludf.DUMMYFUNCTION("""COMPUTED_VALUE"""),"Post 22")</f>
        <v>Post 22</v>
      </c>
      <c r="C415" s="2" t="str">
        <f>IFERROR(__xludf.DUMMYFUNCTION("""COMPUTED_VALUE"""),"LAG 79")</f>
        <v>LAG 79</v>
      </c>
      <c r="D415" s="2">
        <f>IFERROR(__xludf.DUMMYFUNCTION("""COMPUTED_VALUE"""),20.0)</f>
        <v>20</v>
      </c>
      <c r="E415" s="2" t="str">
        <f>IFERROR(__xludf.DUMMYFUNCTION("""COMPUTED_VALUE"""),"Herrelag")</f>
        <v>Herrelag</v>
      </c>
    </row>
    <row r="416" ht="15.75" customHeight="1">
      <c r="A416" s="18">
        <f>IFERROR(__xludf.DUMMYFUNCTION("""COMPUTED_VALUE"""),45857.544838553236)</f>
        <v>45857.54484</v>
      </c>
      <c r="B416" s="2" t="str">
        <f>IFERROR(__xludf.DUMMYFUNCTION("""COMPUTED_VALUE"""),"Post 8")</f>
        <v>Post 8</v>
      </c>
      <c r="C416" s="2" t="str">
        <f>IFERROR(__xludf.DUMMYFUNCTION("""COMPUTED_VALUE"""),"LAG 51")</f>
        <v>LAG 51</v>
      </c>
      <c r="D416" s="2">
        <f>IFERROR(__xludf.DUMMYFUNCTION("""COMPUTED_VALUE"""),10.0)</f>
        <v>10</v>
      </c>
      <c r="E416" s="2" t="str">
        <f>IFERROR(__xludf.DUMMYFUNCTION("""COMPUTED_VALUE"""),"Mixlag")</f>
        <v>Mixlag</v>
      </c>
    </row>
    <row r="417" ht="15.75" customHeight="1">
      <c r="A417" s="18">
        <f>IFERROR(__xludf.DUMMYFUNCTION("""COMPUTED_VALUE"""),45857.544975439814)</f>
        <v>45857.54498</v>
      </c>
      <c r="B417" s="2" t="str">
        <f>IFERROR(__xludf.DUMMYFUNCTION("""COMPUTED_VALUE"""),"Post 22")</f>
        <v>Post 22</v>
      </c>
      <c r="C417" s="2" t="str">
        <f>IFERROR(__xludf.DUMMYFUNCTION("""COMPUTED_VALUE"""),"LAG 82")</f>
        <v>LAG 82</v>
      </c>
      <c r="D417" s="2">
        <f>IFERROR(__xludf.DUMMYFUNCTION("""COMPUTED_VALUE"""),10.0)</f>
        <v>10</v>
      </c>
      <c r="E417" s="2" t="str">
        <f>IFERROR(__xludf.DUMMYFUNCTION("""COMPUTED_VALUE"""),"Mixlag")</f>
        <v>Mixlag</v>
      </c>
    </row>
    <row r="418" ht="15.75" customHeight="1">
      <c r="A418" s="18">
        <f>IFERROR(__xludf.DUMMYFUNCTION("""COMPUTED_VALUE"""),45857.54516371527)</f>
        <v>45857.54516</v>
      </c>
      <c r="B418" s="2" t="str">
        <f>IFERROR(__xludf.DUMMYFUNCTION("""COMPUTED_VALUE"""),"Post 22")</f>
        <v>Post 22</v>
      </c>
      <c r="C418" s="2" t="str">
        <f>IFERROR(__xludf.DUMMYFUNCTION("""COMPUTED_VALUE"""),"LAG 84")</f>
        <v>LAG 84</v>
      </c>
      <c r="D418" s="2">
        <f>IFERROR(__xludf.DUMMYFUNCTION("""COMPUTED_VALUE"""),20.0)</f>
        <v>20</v>
      </c>
      <c r="E418" s="2" t="str">
        <f>IFERROR(__xludf.DUMMYFUNCTION("""COMPUTED_VALUE"""),"Herrelag")</f>
        <v>Herrelag</v>
      </c>
    </row>
    <row r="419" ht="15.75" customHeight="1">
      <c r="A419" s="18">
        <f>IFERROR(__xludf.DUMMYFUNCTION("""COMPUTED_VALUE"""),45857.545203437505)</f>
        <v>45857.5452</v>
      </c>
      <c r="B419" s="2" t="str">
        <f>IFERROR(__xludf.DUMMYFUNCTION("""COMPUTED_VALUE"""),"Post 1")</f>
        <v>Post 1</v>
      </c>
      <c r="C419" s="2" t="str">
        <f>IFERROR(__xludf.DUMMYFUNCTION("""COMPUTED_VALUE"""),"LAG 34")</f>
        <v>LAG 34</v>
      </c>
      <c r="D419" s="2">
        <f>IFERROR(__xludf.DUMMYFUNCTION("""COMPUTED_VALUE"""),0.0)</f>
        <v>0</v>
      </c>
      <c r="E419" s="2" t="str">
        <f>IFERROR(__xludf.DUMMYFUNCTION("""COMPUTED_VALUE"""),"Damelag")</f>
        <v>Damelag</v>
      </c>
    </row>
    <row r="420" ht="15.75" customHeight="1">
      <c r="A420" s="18">
        <f>IFERROR(__xludf.DUMMYFUNCTION("""COMPUTED_VALUE"""),45857.54531364584)</f>
        <v>45857.54531</v>
      </c>
      <c r="B420" s="2" t="str">
        <f>IFERROR(__xludf.DUMMYFUNCTION("""COMPUTED_VALUE"""),"Post 13")</f>
        <v>Post 13</v>
      </c>
      <c r="C420" s="2" t="str">
        <f>IFERROR(__xludf.DUMMYFUNCTION("""COMPUTED_VALUE"""),"LAG 6")</f>
        <v>LAG 6</v>
      </c>
      <c r="D420" s="2">
        <f>IFERROR(__xludf.DUMMYFUNCTION("""COMPUTED_VALUE"""),30.0)</f>
        <v>30</v>
      </c>
      <c r="E420" s="2" t="str">
        <f>IFERROR(__xludf.DUMMYFUNCTION("""COMPUTED_VALUE"""),"Mixlag")</f>
        <v>Mixlag</v>
      </c>
    </row>
    <row r="421" ht="15.75" customHeight="1">
      <c r="A421" s="18">
        <f>IFERROR(__xludf.DUMMYFUNCTION("""COMPUTED_VALUE"""),45857.54536989583)</f>
        <v>45857.54537</v>
      </c>
      <c r="B421" s="2" t="str">
        <f>IFERROR(__xludf.DUMMYFUNCTION("""COMPUTED_VALUE"""),"Post 18")</f>
        <v>Post 18</v>
      </c>
      <c r="C421" s="2" t="str">
        <f>IFERROR(__xludf.DUMMYFUNCTION("""COMPUTED_VALUE"""),"LAG 61")</f>
        <v>LAG 61</v>
      </c>
      <c r="D421" s="2">
        <f>IFERROR(__xludf.DUMMYFUNCTION("""COMPUTED_VALUE"""),9.0)</f>
        <v>9</v>
      </c>
      <c r="E421" s="2" t="str">
        <f>IFERROR(__xludf.DUMMYFUNCTION("""COMPUTED_VALUE"""),"Herrelag")</f>
        <v>Herrelag</v>
      </c>
    </row>
    <row r="422" ht="15.75" customHeight="1">
      <c r="A422" s="18">
        <f>IFERROR(__xludf.DUMMYFUNCTION("""COMPUTED_VALUE"""),45857.5454866088)</f>
        <v>45857.54549</v>
      </c>
      <c r="B422" s="2" t="str">
        <f>IFERROR(__xludf.DUMMYFUNCTION("""COMPUTED_VALUE"""),"Post 12")</f>
        <v>Post 12</v>
      </c>
      <c r="C422" s="2" t="str">
        <f>IFERROR(__xludf.DUMMYFUNCTION("""COMPUTED_VALUE"""),"LAG 23")</f>
        <v>LAG 23</v>
      </c>
      <c r="D422" s="2">
        <f>IFERROR(__xludf.DUMMYFUNCTION("""COMPUTED_VALUE"""),16.0)</f>
        <v>16</v>
      </c>
      <c r="E422" s="2" t="str">
        <f>IFERROR(__xludf.DUMMYFUNCTION("""COMPUTED_VALUE"""),"Damelag")</f>
        <v>Damelag</v>
      </c>
    </row>
    <row r="423" ht="15.75" customHeight="1">
      <c r="A423" s="18">
        <f>IFERROR(__xludf.DUMMYFUNCTION("""COMPUTED_VALUE"""),45857.54581357639)</f>
        <v>45857.54581</v>
      </c>
      <c r="B423" s="2" t="str">
        <f>IFERROR(__xludf.DUMMYFUNCTION("""COMPUTED_VALUE"""),"Post 10")</f>
        <v>Post 10</v>
      </c>
      <c r="C423" s="2" t="str">
        <f>IFERROR(__xludf.DUMMYFUNCTION("""COMPUTED_VALUE"""),"LAG 8")</f>
        <v>LAG 8</v>
      </c>
      <c r="D423" s="2">
        <f>IFERROR(__xludf.DUMMYFUNCTION("""COMPUTED_VALUE"""),15.0)</f>
        <v>15</v>
      </c>
      <c r="E423" s="2" t="str">
        <f>IFERROR(__xludf.DUMMYFUNCTION("""COMPUTED_VALUE"""),"Herrelag")</f>
        <v>Herrelag</v>
      </c>
    </row>
    <row r="424" ht="15.75" customHeight="1">
      <c r="A424" s="18">
        <f>IFERROR(__xludf.DUMMYFUNCTION("""COMPUTED_VALUE"""),45857.5458496412)</f>
        <v>45857.54585</v>
      </c>
      <c r="B424" s="2" t="str">
        <f>IFERROR(__xludf.DUMMYFUNCTION("""COMPUTED_VALUE"""),"Post 3")</f>
        <v>Post 3</v>
      </c>
      <c r="C424" s="2" t="str">
        <f>IFERROR(__xludf.DUMMYFUNCTION("""COMPUTED_VALUE"""),"LAG 55")</f>
        <v>LAG 55</v>
      </c>
      <c r="D424" s="2">
        <f>IFERROR(__xludf.DUMMYFUNCTION("""COMPUTED_VALUE"""),15.0)</f>
        <v>15</v>
      </c>
      <c r="E424" s="2" t="str">
        <f>IFERROR(__xludf.DUMMYFUNCTION("""COMPUTED_VALUE"""),"Damelag")</f>
        <v>Damelag</v>
      </c>
    </row>
    <row r="425" ht="15.75" customHeight="1">
      <c r="A425" s="18">
        <f>IFERROR(__xludf.DUMMYFUNCTION("""COMPUTED_VALUE"""),45857.545901307865)</f>
        <v>45857.5459</v>
      </c>
      <c r="B425" s="2" t="str">
        <f>IFERROR(__xludf.DUMMYFUNCTION("""COMPUTED_VALUE"""),"Post 6")</f>
        <v>Post 6</v>
      </c>
      <c r="C425" s="2" t="str">
        <f>IFERROR(__xludf.DUMMYFUNCTION("""COMPUTED_VALUE"""),"LAG 73")</f>
        <v>LAG 73</v>
      </c>
      <c r="D425" s="2">
        <f>IFERROR(__xludf.DUMMYFUNCTION("""COMPUTED_VALUE"""),20.0)</f>
        <v>20</v>
      </c>
      <c r="E425" s="2" t="str">
        <f>IFERROR(__xludf.DUMMYFUNCTION("""COMPUTED_VALUE"""),"Mixlag")</f>
        <v>Mixlag</v>
      </c>
    </row>
    <row r="426" ht="15.75" customHeight="1">
      <c r="A426" s="18">
        <f>IFERROR(__xludf.DUMMYFUNCTION("""COMPUTED_VALUE"""),45857.54599949074)</f>
        <v>45857.546</v>
      </c>
      <c r="B426" s="2" t="str">
        <f>IFERROR(__xludf.DUMMYFUNCTION("""COMPUTED_VALUE"""),"Post 4")</f>
        <v>Post 4</v>
      </c>
      <c r="C426" s="2" t="str">
        <f>IFERROR(__xludf.DUMMYFUNCTION("""COMPUTED_VALUE"""),"LAG 3")</f>
        <v>LAG 3</v>
      </c>
      <c r="D426" s="2">
        <f>IFERROR(__xludf.DUMMYFUNCTION("""COMPUTED_VALUE"""),15.0)</f>
        <v>15</v>
      </c>
      <c r="E426" s="2" t="str">
        <f>IFERROR(__xludf.DUMMYFUNCTION("""COMPUTED_VALUE"""),"Damelag")</f>
        <v>Damelag</v>
      </c>
    </row>
    <row r="427" ht="15.75" customHeight="1">
      <c r="A427" s="18">
        <f>IFERROR(__xludf.DUMMYFUNCTION("""COMPUTED_VALUE"""),45857.54646650463)</f>
        <v>45857.54647</v>
      </c>
      <c r="B427" s="2" t="str">
        <f>IFERROR(__xludf.DUMMYFUNCTION("""COMPUTED_VALUE"""),"Post 1")</f>
        <v>Post 1</v>
      </c>
      <c r="C427" s="2" t="str">
        <f>IFERROR(__xludf.DUMMYFUNCTION("""COMPUTED_VALUE"""),"LAG 34")</f>
        <v>LAG 34</v>
      </c>
      <c r="D427" s="2">
        <f>IFERROR(__xludf.DUMMYFUNCTION("""COMPUTED_VALUE"""),18.0)</f>
        <v>18</v>
      </c>
      <c r="E427" s="2" t="str">
        <f>IFERROR(__xludf.DUMMYFUNCTION("""COMPUTED_VALUE"""),"Damelag")</f>
        <v>Damelag</v>
      </c>
    </row>
    <row r="428" ht="15.75" customHeight="1">
      <c r="A428" s="18">
        <f>IFERROR(__xludf.DUMMYFUNCTION("""COMPUTED_VALUE"""),45857.54654892361)</f>
        <v>45857.54655</v>
      </c>
      <c r="B428" s="2" t="str">
        <f>IFERROR(__xludf.DUMMYFUNCTION("""COMPUTED_VALUE"""),"Post 8")</f>
        <v>Post 8</v>
      </c>
      <c r="C428" s="2" t="str">
        <f>IFERROR(__xludf.DUMMYFUNCTION("""COMPUTED_VALUE"""),"LAG 67")</f>
        <v>LAG 67</v>
      </c>
      <c r="D428" s="2">
        <f>IFERROR(__xludf.DUMMYFUNCTION("""COMPUTED_VALUE"""),14.0)</f>
        <v>14</v>
      </c>
      <c r="E428" s="2" t="str">
        <f>IFERROR(__xludf.DUMMYFUNCTION("""COMPUTED_VALUE"""),"Damelag")</f>
        <v>Damelag</v>
      </c>
    </row>
    <row r="429" ht="15.75" customHeight="1">
      <c r="A429" s="18">
        <f>IFERROR(__xludf.DUMMYFUNCTION("""COMPUTED_VALUE"""),45857.5466566088)</f>
        <v>45857.54666</v>
      </c>
      <c r="B429" s="2" t="str">
        <f>IFERROR(__xludf.DUMMYFUNCTION("""COMPUTED_VALUE"""),"Post 10")</f>
        <v>Post 10</v>
      </c>
      <c r="C429" s="2" t="str">
        <f>IFERROR(__xludf.DUMMYFUNCTION("""COMPUTED_VALUE"""),"LAG 5")</f>
        <v>LAG 5</v>
      </c>
      <c r="D429" s="2">
        <f>IFERROR(__xludf.DUMMYFUNCTION("""COMPUTED_VALUE"""),15.0)</f>
        <v>15</v>
      </c>
      <c r="E429" s="2" t="str">
        <f>IFERROR(__xludf.DUMMYFUNCTION("""COMPUTED_VALUE"""),"Mixlag")</f>
        <v>Mixlag</v>
      </c>
    </row>
    <row r="430" ht="15.75" customHeight="1">
      <c r="A430" s="18">
        <f>IFERROR(__xludf.DUMMYFUNCTION("""COMPUTED_VALUE"""),45857.5467894676)</f>
        <v>45857.54679</v>
      </c>
      <c r="B430" s="2" t="str">
        <f>IFERROR(__xludf.DUMMYFUNCTION("""COMPUTED_VALUE"""),"Post 15")</f>
        <v>Post 15</v>
      </c>
      <c r="C430" s="2" t="str">
        <f>IFERROR(__xludf.DUMMYFUNCTION("""COMPUTED_VALUE"""),"LAG 41")</f>
        <v>LAG 41</v>
      </c>
      <c r="D430" s="2">
        <f>IFERROR(__xludf.DUMMYFUNCTION("""COMPUTED_VALUE"""),10.0)</f>
        <v>10</v>
      </c>
      <c r="E430" s="2" t="str">
        <f>IFERROR(__xludf.DUMMYFUNCTION("""COMPUTED_VALUE"""),"Mixlag")</f>
        <v>Mixlag</v>
      </c>
    </row>
    <row r="431" ht="15.75" customHeight="1">
      <c r="A431" s="18">
        <f>IFERROR(__xludf.DUMMYFUNCTION("""COMPUTED_VALUE"""),45857.54712130787)</f>
        <v>45857.54712</v>
      </c>
      <c r="B431" s="2" t="str">
        <f>IFERROR(__xludf.DUMMYFUNCTION("""COMPUTED_VALUE"""),"Post 9")</f>
        <v>Post 9</v>
      </c>
      <c r="C431" s="2" t="str">
        <f>IFERROR(__xludf.DUMMYFUNCTION("""COMPUTED_VALUE"""),"LAG 47")</f>
        <v>LAG 47</v>
      </c>
      <c r="D431" s="2">
        <f>IFERROR(__xludf.DUMMYFUNCTION("""COMPUTED_VALUE"""),25.0)</f>
        <v>25</v>
      </c>
      <c r="E431" s="2" t="str">
        <f>IFERROR(__xludf.DUMMYFUNCTION("""COMPUTED_VALUE"""),"Mixlag")</f>
        <v>Mixlag</v>
      </c>
    </row>
    <row r="432" ht="15.75" customHeight="1">
      <c r="A432" s="18">
        <f>IFERROR(__xludf.DUMMYFUNCTION("""COMPUTED_VALUE"""),45857.54721123843)</f>
        <v>45857.54721</v>
      </c>
      <c r="B432" s="2" t="str">
        <f>IFERROR(__xludf.DUMMYFUNCTION("""COMPUTED_VALUE"""),"Post 12")</f>
        <v>Post 12</v>
      </c>
      <c r="C432" s="2" t="str">
        <f>IFERROR(__xludf.DUMMYFUNCTION("""COMPUTED_VALUE"""),"LAG 35")</f>
        <v>LAG 35</v>
      </c>
      <c r="D432" s="2">
        <f>IFERROR(__xludf.DUMMYFUNCTION("""COMPUTED_VALUE"""),20.0)</f>
        <v>20</v>
      </c>
      <c r="E432" s="2" t="str">
        <f>IFERROR(__xludf.DUMMYFUNCTION("""COMPUTED_VALUE"""),"Damelag")</f>
        <v>Damelag</v>
      </c>
    </row>
    <row r="433" ht="15.75" customHeight="1">
      <c r="A433" s="18">
        <f>IFERROR(__xludf.DUMMYFUNCTION("""COMPUTED_VALUE"""),45857.5472353588)</f>
        <v>45857.54724</v>
      </c>
      <c r="B433" s="2" t="str">
        <f>IFERROR(__xludf.DUMMYFUNCTION("""COMPUTED_VALUE"""),"Post 4")</f>
        <v>Post 4</v>
      </c>
      <c r="C433" s="2" t="str">
        <f>IFERROR(__xludf.DUMMYFUNCTION("""COMPUTED_VALUE"""),"LAG 49")</f>
        <v>LAG 49</v>
      </c>
      <c r="D433" s="2">
        <f>IFERROR(__xludf.DUMMYFUNCTION("""COMPUTED_VALUE"""),15.0)</f>
        <v>15</v>
      </c>
      <c r="E433" s="2" t="str">
        <f>IFERROR(__xludf.DUMMYFUNCTION("""COMPUTED_VALUE"""),"Damelag")</f>
        <v>Damelag</v>
      </c>
    </row>
    <row r="434" ht="15.75" customHeight="1">
      <c r="A434" s="18">
        <f>IFERROR(__xludf.DUMMYFUNCTION("""COMPUTED_VALUE"""),45857.54756436343)</f>
        <v>45857.54756</v>
      </c>
      <c r="B434" s="2" t="str">
        <f>IFERROR(__xludf.DUMMYFUNCTION("""COMPUTED_VALUE"""),"Post 15")</f>
        <v>Post 15</v>
      </c>
      <c r="C434" s="2" t="str">
        <f>IFERROR(__xludf.DUMMYFUNCTION("""COMPUTED_VALUE"""),"LAG 7")</f>
        <v>LAG 7</v>
      </c>
      <c r="D434" s="2">
        <f>IFERROR(__xludf.DUMMYFUNCTION("""COMPUTED_VALUE"""),5.0)</f>
        <v>5</v>
      </c>
      <c r="E434" s="2" t="str">
        <f>IFERROR(__xludf.DUMMYFUNCTION("""COMPUTED_VALUE"""),"Mixlag")</f>
        <v>Mixlag</v>
      </c>
    </row>
    <row r="435" ht="15.75" customHeight="1">
      <c r="A435" s="18">
        <f>IFERROR(__xludf.DUMMYFUNCTION("""COMPUTED_VALUE"""),45857.54829465278)</f>
        <v>45857.54829</v>
      </c>
      <c r="B435" s="2" t="str">
        <f>IFERROR(__xludf.DUMMYFUNCTION("""COMPUTED_VALUE"""),"Post 8")</f>
        <v>Post 8</v>
      </c>
      <c r="C435" s="2" t="str">
        <f>IFERROR(__xludf.DUMMYFUNCTION("""COMPUTED_VALUE"""),"LAG 32")</f>
        <v>LAG 32</v>
      </c>
      <c r="D435" s="2">
        <f>IFERROR(__xludf.DUMMYFUNCTION("""COMPUTED_VALUE"""),12.0)</f>
        <v>12</v>
      </c>
      <c r="E435" s="2" t="str">
        <f>IFERROR(__xludf.DUMMYFUNCTION("""COMPUTED_VALUE"""),"Damelag")</f>
        <v>Damelag</v>
      </c>
    </row>
    <row r="436" ht="15.75" customHeight="1">
      <c r="A436" s="18">
        <f>IFERROR(__xludf.DUMMYFUNCTION("""COMPUTED_VALUE"""),45857.548322013885)</f>
        <v>45857.54832</v>
      </c>
      <c r="B436" s="2" t="str">
        <f>IFERROR(__xludf.DUMMYFUNCTION("""COMPUTED_VALUE"""),"Post 3")</f>
        <v>Post 3</v>
      </c>
      <c r="C436" s="2" t="str">
        <f>IFERROR(__xludf.DUMMYFUNCTION("""COMPUTED_VALUE"""),"LAG 71")</f>
        <v>LAG 71</v>
      </c>
      <c r="D436" s="2">
        <f>IFERROR(__xludf.DUMMYFUNCTION("""COMPUTED_VALUE"""),12.0)</f>
        <v>12</v>
      </c>
      <c r="E436" s="2" t="str">
        <f>IFERROR(__xludf.DUMMYFUNCTION("""COMPUTED_VALUE"""),"Mixlag")</f>
        <v>Mixlag</v>
      </c>
    </row>
    <row r="437" ht="15.75" customHeight="1">
      <c r="A437" s="18">
        <f>IFERROR(__xludf.DUMMYFUNCTION("""COMPUTED_VALUE"""),45857.54859013889)</f>
        <v>45857.54859</v>
      </c>
      <c r="B437" s="2" t="str">
        <f>IFERROR(__xludf.DUMMYFUNCTION("""COMPUTED_VALUE"""),"Post 10")</f>
        <v>Post 10</v>
      </c>
      <c r="C437" s="2" t="str">
        <f>IFERROR(__xludf.DUMMYFUNCTION("""COMPUTED_VALUE"""),"LAG 62")</f>
        <v>LAG 62</v>
      </c>
      <c r="D437" s="2">
        <f>IFERROR(__xludf.DUMMYFUNCTION("""COMPUTED_VALUE"""),15.0)</f>
        <v>15</v>
      </c>
      <c r="E437" s="2" t="str">
        <f>IFERROR(__xludf.DUMMYFUNCTION("""COMPUTED_VALUE"""),"Mixlag")</f>
        <v>Mixlag</v>
      </c>
    </row>
    <row r="438" ht="15.75" customHeight="1">
      <c r="A438" s="18">
        <f>IFERROR(__xludf.DUMMYFUNCTION("""COMPUTED_VALUE"""),45857.54864538195)</f>
        <v>45857.54865</v>
      </c>
      <c r="B438" s="2" t="str">
        <f>IFERROR(__xludf.DUMMYFUNCTION("""COMPUTED_VALUE"""),"Post 18")</f>
        <v>Post 18</v>
      </c>
      <c r="C438" s="2" t="str">
        <f>IFERROR(__xludf.DUMMYFUNCTION("""COMPUTED_VALUE"""),"LAG 20")</f>
        <v>LAG 20</v>
      </c>
      <c r="D438" s="2">
        <f>IFERROR(__xludf.DUMMYFUNCTION("""COMPUTED_VALUE"""),15.0)</f>
        <v>15</v>
      </c>
      <c r="E438" s="2" t="str">
        <f>IFERROR(__xludf.DUMMYFUNCTION("""COMPUTED_VALUE"""),"Damelag")</f>
        <v>Damelag</v>
      </c>
    </row>
    <row r="439" ht="15.75" customHeight="1">
      <c r="A439" s="18">
        <f>IFERROR(__xludf.DUMMYFUNCTION("""COMPUTED_VALUE"""),45857.54902751157)</f>
        <v>45857.54903</v>
      </c>
      <c r="B439" s="2" t="str">
        <f>IFERROR(__xludf.DUMMYFUNCTION("""COMPUTED_VALUE"""),"Post 15")</f>
        <v>Post 15</v>
      </c>
      <c r="C439" s="2" t="str">
        <f>IFERROR(__xludf.DUMMYFUNCTION("""COMPUTED_VALUE"""),"LAG 60")</f>
        <v>LAG 60</v>
      </c>
      <c r="D439" s="2">
        <f>IFERROR(__xludf.DUMMYFUNCTION("""COMPUTED_VALUE"""),20.0)</f>
        <v>20</v>
      </c>
      <c r="E439" s="2" t="str">
        <f>IFERROR(__xludf.DUMMYFUNCTION("""COMPUTED_VALUE"""),"Herrelag")</f>
        <v>Herrelag</v>
      </c>
    </row>
    <row r="440" ht="15.75" customHeight="1">
      <c r="A440" s="18">
        <f>IFERROR(__xludf.DUMMYFUNCTION("""COMPUTED_VALUE"""),45857.54923704861)</f>
        <v>45857.54924</v>
      </c>
      <c r="B440" s="2" t="str">
        <f>IFERROR(__xludf.DUMMYFUNCTION("""COMPUTED_VALUE"""),"Post 10")</f>
        <v>Post 10</v>
      </c>
      <c r="C440" s="2" t="str">
        <f>IFERROR(__xludf.DUMMYFUNCTION("""COMPUTED_VALUE"""),"LAG 2")</f>
        <v>LAG 2</v>
      </c>
      <c r="D440" s="2">
        <f>IFERROR(__xludf.DUMMYFUNCTION("""COMPUTED_VALUE"""),15.0)</f>
        <v>15</v>
      </c>
      <c r="E440" s="2" t="str">
        <f>IFERROR(__xludf.DUMMYFUNCTION("""COMPUTED_VALUE"""),"Damelag")</f>
        <v>Damelag</v>
      </c>
    </row>
    <row r="441" ht="15.75" customHeight="1">
      <c r="A441" s="18">
        <f>IFERROR(__xludf.DUMMYFUNCTION("""COMPUTED_VALUE"""),45857.54992489584)</f>
        <v>45857.54992</v>
      </c>
      <c r="B441" s="2" t="str">
        <f>IFERROR(__xludf.DUMMYFUNCTION("""COMPUTED_VALUE"""),"Post 3")</f>
        <v>Post 3</v>
      </c>
      <c r="C441" s="2" t="str">
        <f>IFERROR(__xludf.DUMMYFUNCTION("""COMPUTED_VALUE"""),"LAG 14")</f>
        <v>LAG 14</v>
      </c>
      <c r="D441" s="2">
        <f>IFERROR(__xludf.DUMMYFUNCTION("""COMPUTED_VALUE"""),6.0)</f>
        <v>6</v>
      </c>
      <c r="E441" s="2" t="str">
        <f>IFERROR(__xludf.DUMMYFUNCTION("""COMPUTED_VALUE"""),"Mixlag")</f>
        <v>Mixlag</v>
      </c>
    </row>
    <row r="442" ht="15.75" customHeight="1">
      <c r="A442" s="18">
        <f>IFERROR(__xludf.DUMMYFUNCTION("""COMPUTED_VALUE"""),45857.55008862268)</f>
        <v>45857.55009</v>
      </c>
      <c r="B442" s="2" t="str">
        <f>IFERROR(__xludf.DUMMYFUNCTION("""COMPUTED_VALUE"""),"Post 8")</f>
        <v>Post 8</v>
      </c>
      <c r="C442" s="2" t="str">
        <f>IFERROR(__xludf.DUMMYFUNCTION("""COMPUTED_VALUE"""),"LAG 75")</f>
        <v>LAG 75</v>
      </c>
      <c r="D442" s="2">
        <f>IFERROR(__xludf.DUMMYFUNCTION("""COMPUTED_VALUE"""),7.0)</f>
        <v>7</v>
      </c>
      <c r="E442" s="2" t="str">
        <f>IFERROR(__xludf.DUMMYFUNCTION("""COMPUTED_VALUE"""),"Herrelag")</f>
        <v>Herrelag</v>
      </c>
    </row>
    <row r="443" ht="15.75" customHeight="1">
      <c r="A443" s="18">
        <f>IFERROR(__xludf.DUMMYFUNCTION("""COMPUTED_VALUE"""),45857.550143518514)</f>
        <v>45857.55014</v>
      </c>
      <c r="B443" s="2" t="str">
        <f>IFERROR(__xludf.DUMMYFUNCTION("""COMPUTED_VALUE"""),"Post 1")</f>
        <v>Post 1</v>
      </c>
      <c r="C443" s="2" t="str">
        <f>IFERROR(__xludf.DUMMYFUNCTION("""COMPUTED_VALUE"""),"LAG 6")</f>
        <v>LAG 6</v>
      </c>
      <c r="D443" s="2">
        <f>IFERROR(__xludf.DUMMYFUNCTION("""COMPUTED_VALUE"""),6.0)</f>
        <v>6</v>
      </c>
      <c r="E443" s="2" t="str">
        <f>IFERROR(__xludf.DUMMYFUNCTION("""COMPUTED_VALUE"""),"Mixlag")</f>
        <v>Mixlag</v>
      </c>
    </row>
    <row r="444" ht="15.75" customHeight="1">
      <c r="A444" s="18">
        <f>IFERROR(__xludf.DUMMYFUNCTION("""COMPUTED_VALUE"""),45857.55034027778)</f>
        <v>45857.55034</v>
      </c>
      <c r="B444" s="2" t="str">
        <f>IFERROR(__xludf.DUMMYFUNCTION("""COMPUTED_VALUE"""),"Post 2")</f>
        <v>Post 2</v>
      </c>
      <c r="C444" s="2" t="str">
        <f>IFERROR(__xludf.DUMMYFUNCTION("""COMPUTED_VALUE"""),"LAG 5")</f>
        <v>LAG 5</v>
      </c>
      <c r="D444" s="2">
        <f>IFERROR(__xludf.DUMMYFUNCTION("""COMPUTED_VALUE"""),15.0)</f>
        <v>15</v>
      </c>
      <c r="E444" s="2" t="str">
        <f>IFERROR(__xludf.DUMMYFUNCTION("""COMPUTED_VALUE"""),"Mixlag")</f>
        <v>Mixlag</v>
      </c>
    </row>
    <row r="445" ht="15.75" customHeight="1">
      <c r="A445" s="18">
        <f>IFERROR(__xludf.DUMMYFUNCTION("""COMPUTED_VALUE"""),45857.5508618287)</f>
        <v>45857.55086</v>
      </c>
      <c r="B445" s="2" t="str">
        <f>IFERROR(__xludf.DUMMYFUNCTION("""COMPUTED_VALUE"""),"Post 1")</f>
        <v>Post 1</v>
      </c>
      <c r="C445" s="2" t="str">
        <f>IFERROR(__xludf.DUMMYFUNCTION("""COMPUTED_VALUE"""),"LAG 69")</f>
        <v>LAG 69</v>
      </c>
      <c r="D445" s="2">
        <f>IFERROR(__xludf.DUMMYFUNCTION("""COMPUTED_VALUE"""),12.0)</f>
        <v>12</v>
      </c>
      <c r="E445" s="2" t="str">
        <f>IFERROR(__xludf.DUMMYFUNCTION("""COMPUTED_VALUE"""),"Herrelag")</f>
        <v>Herrelag</v>
      </c>
    </row>
    <row r="446" ht="15.75" customHeight="1">
      <c r="A446" s="18">
        <f>IFERROR(__xludf.DUMMYFUNCTION("""COMPUTED_VALUE"""),45857.550975798615)</f>
        <v>45857.55098</v>
      </c>
      <c r="B446" s="2" t="str">
        <f>IFERROR(__xludf.DUMMYFUNCTION("""COMPUTED_VALUE"""),"Post 18")</f>
        <v>Post 18</v>
      </c>
      <c r="C446" s="2" t="str">
        <f>IFERROR(__xludf.DUMMYFUNCTION("""COMPUTED_VALUE"""),"LAG 11")</f>
        <v>LAG 11</v>
      </c>
      <c r="D446" s="2">
        <f>IFERROR(__xludf.DUMMYFUNCTION("""COMPUTED_VALUE"""),9.0)</f>
        <v>9</v>
      </c>
      <c r="E446" s="2" t="str">
        <f>IFERROR(__xludf.DUMMYFUNCTION("""COMPUTED_VALUE"""),"Damelag")</f>
        <v>Damelag</v>
      </c>
    </row>
    <row r="447" ht="15.75" customHeight="1">
      <c r="A447" s="18">
        <f>IFERROR(__xludf.DUMMYFUNCTION("""COMPUTED_VALUE"""),45857.55146476852)</f>
        <v>45857.55146</v>
      </c>
      <c r="B447" s="2" t="str">
        <f>IFERROR(__xludf.DUMMYFUNCTION("""COMPUTED_VALUE"""),"Post 12")</f>
        <v>Post 12</v>
      </c>
      <c r="C447" s="2" t="str">
        <f>IFERROR(__xludf.DUMMYFUNCTION("""COMPUTED_VALUE"""),"LAG 20")</f>
        <v>LAG 20</v>
      </c>
      <c r="D447" s="2">
        <f>IFERROR(__xludf.DUMMYFUNCTION("""COMPUTED_VALUE"""),18.0)</f>
        <v>18</v>
      </c>
      <c r="E447" s="2" t="str">
        <f>IFERROR(__xludf.DUMMYFUNCTION("""COMPUTED_VALUE"""),"Damelag")</f>
        <v>Damelag</v>
      </c>
    </row>
    <row r="448" ht="15.75" customHeight="1">
      <c r="A448" s="18">
        <f>IFERROR(__xludf.DUMMYFUNCTION("""COMPUTED_VALUE"""),45857.55153675926)</f>
        <v>45857.55154</v>
      </c>
      <c r="B448" s="2" t="str">
        <f>IFERROR(__xludf.DUMMYFUNCTION("""COMPUTED_VALUE"""),"Post 5")</f>
        <v>Post 5</v>
      </c>
      <c r="C448" s="2" t="str">
        <f>IFERROR(__xludf.DUMMYFUNCTION("""COMPUTED_VALUE"""),"LAG 35")</f>
        <v>LAG 35</v>
      </c>
      <c r="D448" s="2">
        <f>IFERROR(__xludf.DUMMYFUNCTION("""COMPUTED_VALUE"""),10.0)</f>
        <v>10</v>
      </c>
      <c r="E448" s="2" t="str">
        <f>IFERROR(__xludf.DUMMYFUNCTION("""COMPUTED_VALUE"""),"Damelag")</f>
        <v>Damelag</v>
      </c>
    </row>
    <row r="449" ht="15.75" customHeight="1">
      <c r="A449" s="18">
        <f>IFERROR(__xludf.DUMMYFUNCTION("""COMPUTED_VALUE"""),45857.55175997685)</f>
        <v>45857.55176</v>
      </c>
      <c r="B449" s="2" t="str">
        <f>IFERROR(__xludf.DUMMYFUNCTION("""COMPUTED_VALUE"""),"Post 4")</f>
        <v>Post 4</v>
      </c>
      <c r="C449" s="2" t="str">
        <f>IFERROR(__xludf.DUMMYFUNCTION("""COMPUTED_VALUE"""),"LAG 19")</f>
        <v>LAG 19</v>
      </c>
      <c r="D449" s="2">
        <f>IFERROR(__xludf.DUMMYFUNCTION("""COMPUTED_VALUE"""),10.0)</f>
        <v>10</v>
      </c>
      <c r="E449" s="2" t="str">
        <f>IFERROR(__xludf.DUMMYFUNCTION("""COMPUTED_VALUE"""),"Herrelag")</f>
        <v>Herrelag</v>
      </c>
    </row>
    <row r="450" ht="15.75" customHeight="1">
      <c r="A450" s="18">
        <f>IFERROR(__xludf.DUMMYFUNCTION("""COMPUTED_VALUE"""),45857.55198903935)</f>
        <v>45857.55199</v>
      </c>
      <c r="B450" s="2" t="str">
        <f>IFERROR(__xludf.DUMMYFUNCTION("""COMPUTED_VALUE"""),"Post 18")</f>
        <v>Post 18</v>
      </c>
      <c r="C450" s="2" t="str">
        <f>IFERROR(__xludf.DUMMYFUNCTION("""COMPUTED_VALUE"""),"LAG 60")</f>
        <v>LAG 60</v>
      </c>
      <c r="D450" s="2">
        <f>IFERROR(__xludf.DUMMYFUNCTION("""COMPUTED_VALUE"""),11.0)</f>
        <v>11</v>
      </c>
      <c r="E450" s="2" t="str">
        <f>IFERROR(__xludf.DUMMYFUNCTION("""COMPUTED_VALUE"""),"Herrelag")</f>
        <v>Herrelag</v>
      </c>
    </row>
    <row r="451" ht="15.75" customHeight="1">
      <c r="A451" s="18">
        <f>IFERROR(__xludf.DUMMYFUNCTION("""COMPUTED_VALUE"""),45857.55202508102)</f>
        <v>45857.55203</v>
      </c>
      <c r="B451" s="2" t="str">
        <f>IFERROR(__xludf.DUMMYFUNCTION("""COMPUTED_VALUE"""),"Post 1")</f>
        <v>Post 1</v>
      </c>
      <c r="C451" s="2" t="str">
        <f>IFERROR(__xludf.DUMMYFUNCTION("""COMPUTED_VALUE"""),"LAG 76")</f>
        <v>LAG 76</v>
      </c>
      <c r="D451" s="2">
        <f>IFERROR(__xludf.DUMMYFUNCTION("""COMPUTED_VALUE"""),0.0)</f>
        <v>0</v>
      </c>
      <c r="E451" s="2" t="str">
        <f>IFERROR(__xludf.DUMMYFUNCTION("""COMPUTED_VALUE"""),"Mixlag")</f>
        <v>Mixlag</v>
      </c>
    </row>
    <row r="452" ht="15.75" customHeight="1">
      <c r="A452" s="18">
        <f>IFERROR(__xludf.DUMMYFUNCTION("""COMPUTED_VALUE"""),45857.55236707176)</f>
        <v>45857.55237</v>
      </c>
      <c r="B452" s="2" t="str">
        <f>IFERROR(__xludf.DUMMYFUNCTION("""COMPUTED_VALUE"""),"Post 8")</f>
        <v>Post 8</v>
      </c>
      <c r="C452" s="2" t="str">
        <f>IFERROR(__xludf.DUMMYFUNCTION("""COMPUTED_VALUE"""),"LAG 66")</f>
        <v>LAG 66</v>
      </c>
      <c r="D452" s="2">
        <f>IFERROR(__xludf.DUMMYFUNCTION("""COMPUTED_VALUE"""),11.0)</f>
        <v>11</v>
      </c>
      <c r="E452" s="2" t="str">
        <f>IFERROR(__xludf.DUMMYFUNCTION("""COMPUTED_VALUE"""),"Damelag")</f>
        <v>Damelag</v>
      </c>
    </row>
    <row r="453" ht="15.75" customHeight="1">
      <c r="A453" s="18">
        <f>IFERROR(__xludf.DUMMYFUNCTION("""COMPUTED_VALUE"""),45857.55256434028)</f>
        <v>45857.55256</v>
      </c>
      <c r="B453" s="2" t="str">
        <f>IFERROR(__xludf.DUMMYFUNCTION("""COMPUTED_VALUE"""),"Post 3")</f>
        <v>Post 3</v>
      </c>
      <c r="C453" s="2" t="str">
        <f>IFERROR(__xludf.DUMMYFUNCTION("""COMPUTED_VALUE"""),"LAG 39")</f>
        <v>LAG 39</v>
      </c>
      <c r="D453" s="2">
        <f>IFERROR(__xludf.DUMMYFUNCTION("""COMPUTED_VALUE"""),18.0)</f>
        <v>18</v>
      </c>
      <c r="E453" s="2" t="str">
        <f>IFERROR(__xludf.DUMMYFUNCTION("""COMPUTED_VALUE"""),"Herrelag")</f>
        <v>Herrelag</v>
      </c>
    </row>
    <row r="454" ht="15.75" customHeight="1">
      <c r="A454" s="18">
        <f>IFERROR(__xludf.DUMMYFUNCTION("""COMPUTED_VALUE"""),45857.552657962966)</f>
        <v>45857.55266</v>
      </c>
      <c r="B454" s="2" t="str">
        <f>IFERROR(__xludf.DUMMYFUNCTION("""COMPUTED_VALUE"""),"Post 9")</f>
        <v>Post 9</v>
      </c>
      <c r="C454" s="2" t="str">
        <f>IFERROR(__xludf.DUMMYFUNCTION("""COMPUTED_VALUE"""),"LAG 83")</f>
        <v>LAG 83</v>
      </c>
      <c r="D454" s="2">
        <f>IFERROR(__xludf.DUMMYFUNCTION("""COMPUTED_VALUE"""),20.0)</f>
        <v>20</v>
      </c>
      <c r="E454" s="2" t="str">
        <f>IFERROR(__xludf.DUMMYFUNCTION("""COMPUTED_VALUE"""),"Herrelag")</f>
        <v>Herrelag</v>
      </c>
    </row>
    <row r="455" ht="15.75" customHeight="1">
      <c r="A455" s="18">
        <f>IFERROR(__xludf.DUMMYFUNCTION("""COMPUTED_VALUE"""),45857.5528665625)</f>
        <v>45857.55287</v>
      </c>
      <c r="B455" s="2" t="str">
        <f>IFERROR(__xludf.DUMMYFUNCTION("""COMPUTED_VALUE"""),"Post 10")</f>
        <v>Post 10</v>
      </c>
      <c r="C455" s="2" t="str">
        <f>IFERROR(__xludf.DUMMYFUNCTION("""COMPUTED_VALUE"""),"LAG 23")</f>
        <v>LAG 23</v>
      </c>
      <c r="D455" s="2">
        <f>IFERROR(__xludf.DUMMYFUNCTION("""COMPUTED_VALUE"""),13.0)</f>
        <v>13</v>
      </c>
      <c r="E455" s="2" t="str">
        <f>IFERROR(__xludf.DUMMYFUNCTION("""COMPUTED_VALUE"""),"Damelag")</f>
        <v>Damelag</v>
      </c>
    </row>
    <row r="456" ht="15.75" customHeight="1">
      <c r="A456" s="18">
        <f>IFERROR(__xludf.DUMMYFUNCTION("""COMPUTED_VALUE"""),45857.55323538194)</f>
        <v>45857.55324</v>
      </c>
      <c r="B456" s="2" t="str">
        <f>IFERROR(__xludf.DUMMYFUNCTION("""COMPUTED_VALUE"""),"Post 15")</f>
        <v>Post 15</v>
      </c>
      <c r="C456" s="2" t="str">
        <f>IFERROR(__xludf.DUMMYFUNCTION("""COMPUTED_VALUE"""),"LAG 77")</f>
        <v>LAG 77</v>
      </c>
      <c r="D456" s="2">
        <f>IFERROR(__xludf.DUMMYFUNCTION("""COMPUTED_VALUE"""),15.0)</f>
        <v>15</v>
      </c>
      <c r="E456" s="2" t="str">
        <f>IFERROR(__xludf.DUMMYFUNCTION("""COMPUTED_VALUE"""),"Mixlag")</f>
        <v>Mixlag</v>
      </c>
    </row>
    <row r="457" ht="15.75" customHeight="1">
      <c r="A457" s="18">
        <f>IFERROR(__xludf.DUMMYFUNCTION("""COMPUTED_VALUE"""),45857.553402986116)</f>
        <v>45857.5534</v>
      </c>
      <c r="B457" s="2" t="str">
        <f>IFERROR(__xludf.DUMMYFUNCTION("""COMPUTED_VALUE"""),"Post 10")</f>
        <v>Post 10</v>
      </c>
      <c r="C457" s="2" t="str">
        <f>IFERROR(__xludf.DUMMYFUNCTION("""COMPUTED_VALUE"""),"LAG 55")</f>
        <v>LAG 55</v>
      </c>
      <c r="D457" s="2">
        <f>IFERROR(__xludf.DUMMYFUNCTION("""COMPUTED_VALUE"""),15.0)</f>
        <v>15</v>
      </c>
      <c r="E457" s="2" t="str">
        <f>IFERROR(__xludf.DUMMYFUNCTION("""COMPUTED_VALUE"""),"Damelag")</f>
        <v>Damelag</v>
      </c>
    </row>
    <row r="458" ht="15.75" customHeight="1">
      <c r="A458" s="18">
        <f>IFERROR(__xludf.DUMMYFUNCTION("""COMPUTED_VALUE"""),45857.55355671296)</f>
        <v>45857.55356</v>
      </c>
      <c r="B458" s="2" t="str">
        <f>IFERROR(__xludf.DUMMYFUNCTION("""COMPUTED_VALUE"""),"Post 15")</f>
        <v>Post 15</v>
      </c>
      <c r="C458" s="2" t="str">
        <f>IFERROR(__xludf.DUMMYFUNCTION("""COMPUTED_VALUE"""),"LAG 10")</f>
        <v>LAG 10</v>
      </c>
      <c r="D458" s="2">
        <f>IFERROR(__xludf.DUMMYFUNCTION("""COMPUTED_VALUE"""),5.0)</f>
        <v>5</v>
      </c>
      <c r="E458" s="2" t="str">
        <f>IFERROR(__xludf.DUMMYFUNCTION("""COMPUTED_VALUE"""),"Herrelag")</f>
        <v>Herrelag</v>
      </c>
    </row>
    <row r="459" ht="15.75" customHeight="1">
      <c r="A459" s="18">
        <f>IFERROR(__xludf.DUMMYFUNCTION("""COMPUTED_VALUE"""),45857.55364865741)</f>
        <v>45857.55365</v>
      </c>
      <c r="B459" s="2" t="str">
        <f>IFERROR(__xludf.DUMMYFUNCTION("""COMPUTED_VALUE"""),"Post 12")</f>
        <v>Post 12</v>
      </c>
      <c r="C459" s="2" t="str">
        <f>IFERROR(__xludf.DUMMYFUNCTION("""COMPUTED_VALUE"""),"LAG 73")</f>
        <v>LAG 73</v>
      </c>
      <c r="D459" s="2">
        <f>IFERROR(__xludf.DUMMYFUNCTION("""COMPUTED_VALUE"""),18.0)</f>
        <v>18</v>
      </c>
      <c r="E459" s="2" t="str">
        <f>IFERROR(__xludf.DUMMYFUNCTION("""COMPUTED_VALUE"""),"Mixlag")</f>
        <v>Mixlag</v>
      </c>
    </row>
    <row r="460" ht="15.75" customHeight="1">
      <c r="A460" s="18">
        <f>IFERROR(__xludf.DUMMYFUNCTION("""COMPUTED_VALUE"""),45857.55436811343)</f>
        <v>45857.55437</v>
      </c>
      <c r="B460" s="2" t="str">
        <f>IFERROR(__xludf.DUMMYFUNCTION("""COMPUTED_VALUE"""),"Post 3")</f>
        <v>Post 3</v>
      </c>
      <c r="C460" s="2" t="str">
        <f>IFERROR(__xludf.DUMMYFUNCTION("""COMPUTED_VALUE"""),"LAG 67")</f>
        <v>LAG 67</v>
      </c>
      <c r="D460" s="2">
        <f>IFERROR(__xludf.DUMMYFUNCTION("""COMPUTED_VALUE"""),15.0)</f>
        <v>15</v>
      </c>
      <c r="E460" s="2" t="str">
        <f>IFERROR(__xludf.DUMMYFUNCTION("""COMPUTED_VALUE"""),"Damelag")</f>
        <v>Damelag</v>
      </c>
    </row>
    <row r="461" ht="15.75" customHeight="1">
      <c r="A461" s="18">
        <f>IFERROR(__xludf.DUMMYFUNCTION("""COMPUTED_VALUE"""),45857.55459806713)</f>
        <v>45857.5546</v>
      </c>
      <c r="B461" s="2" t="str">
        <f>IFERROR(__xludf.DUMMYFUNCTION("""COMPUTED_VALUE"""),"Post 8")</f>
        <v>Post 8</v>
      </c>
      <c r="C461" s="2" t="str">
        <f>IFERROR(__xludf.DUMMYFUNCTION("""COMPUTED_VALUE"""),"LAG 36")</f>
        <v>LAG 36</v>
      </c>
      <c r="D461" s="2">
        <f>IFERROR(__xludf.DUMMYFUNCTION("""COMPUTED_VALUE"""),14.0)</f>
        <v>14</v>
      </c>
      <c r="E461" s="2" t="str">
        <f>IFERROR(__xludf.DUMMYFUNCTION("""COMPUTED_VALUE"""),"Herrelag")</f>
        <v>Herrelag</v>
      </c>
    </row>
    <row r="462" ht="15.75" customHeight="1">
      <c r="A462" s="18">
        <f>IFERROR(__xludf.DUMMYFUNCTION("""COMPUTED_VALUE"""),45857.55494148148)</f>
        <v>45857.55494</v>
      </c>
      <c r="B462" s="2" t="str">
        <f>IFERROR(__xludf.DUMMYFUNCTION("""COMPUTED_VALUE"""),"Post 15")</f>
        <v>Post 15</v>
      </c>
      <c r="C462" s="2" t="str">
        <f>IFERROR(__xludf.DUMMYFUNCTION("""COMPUTED_VALUE"""),"LAG 48")</f>
        <v>LAG 48</v>
      </c>
      <c r="D462" s="2">
        <f>IFERROR(__xludf.DUMMYFUNCTION("""COMPUTED_VALUE"""),20.0)</f>
        <v>20</v>
      </c>
      <c r="E462" s="2" t="str">
        <f>IFERROR(__xludf.DUMMYFUNCTION("""COMPUTED_VALUE"""),"Damelag")</f>
        <v>Damelag</v>
      </c>
    </row>
    <row r="463" ht="15.75" customHeight="1">
      <c r="A463" s="18">
        <f>IFERROR(__xludf.DUMMYFUNCTION("""COMPUTED_VALUE"""),45857.55498310185)</f>
        <v>45857.55498</v>
      </c>
      <c r="B463" s="2" t="str">
        <f>IFERROR(__xludf.DUMMYFUNCTION("""COMPUTED_VALUE"""),"Post 18")</f>
        <v>Post 18</v>
      </c>
      <c r="C463" s="2" t="str">
        <f>IFERROR(__xludf.DUMMYFUNCTION("""COMPUTED_VALUE"""),"LAG 10")</f>
        <v>LAG 10</v>
      </c>
      <c r="D463" s="2">
        <f>IFERROR(__xludf.DUMMYFUNCTION("""COMPUTED_VALUE"""),13.0)</f>
        <v>13</v>
      </c>
      <c r="E463" s="2" t="str">
        <f>IFERROR(__xludf.DUMMYFUNCTION("""COMPUTED_VALUE"""),"Herrelag")</f>
        <v>Herrelag</v>
      </c>
    </row>
    <row r="464" ht="15.75" customHeight="1">
      <c r="A464" s="18">
        <f>IFERROR(__xludf.DUMMYFUNCTION("""COMPUTED_VALUE"""),45857.55507739584)</f>
        <v>45857.55508</v>
      </c>
      <c r="B464" s="2" t="str">
        <f>IFERROR(__xludf.DUMMYFUNCTION("""COMPUTED_VALUE"""),"Post 12")</f>
        <v>Post 12</v>
      </c>
      <c r="C464" s="2" t="str">
        <f>IFERROR(__xludf.DUMMYFUNCTION("""COMPUTED_VALUE"""),"LAG 56")</f>
        <v>LAG 56</v>
      </c>
      <c r="D464" s="2">
        <f>IFERROR(__xludf.DUMMYFUNCTION("""COMPUTED_VALUE"""),9.0)</f>
        <v>9</v>
      </c>
      <c r="E464" s="2" t="str">
        <f>IFERROR(__xludf.DUMMYFUNCTION("""COMPUTED_VALUE"""),"Mixlag")</f>
        <v>Mixlag</v>
      </c>
    </row>
    <row r="465" ht="15.75" customHeight="1">
      <c r="A465" s="18">
        <f>IFERROR(__xludf.DUMMYFUNCTION("""COMPUTED_VALUE"""),45857.55558954861)</f>
        <v>45857.55559</v>
      </c>
      <c r="B465" s="2" t="str">
        <f>IFERROR(__xludf.DUMMYFUNCTION("""COMPUTED_VALUE"""),"Post 10")</f>
        <v>Post 10</v>
      </c>
      <c r="C465" s="2" t="str">
        <f>IFERROR(__xludf.DUMMYFUNCTION("""COMPUTED_VALUE"""),"LAG 47")</f>
        <v>LAG 47</v>
      </c>
      <c r="D465" s="2">
        <f>IFERROR(__xludf.DUMMYFUNCTION("""COMPUTED_VALUE"""),15.0)</f>
        <v>15</v>
      </c>
      <c r="E465" s="2" t="str">
        <f>IFERROR(__xludf.DUMMYFUNCTION("""COMPUTED_VALUE"""),"Mixlag")</f>
        <v>Mixlag</v>
      </c>
    </row>
    <row r="466" ht="15.75" customHeight="1">
      <c r="A466" s="18">
        <f>IFERROR(__xludf.DUMMYFUNCTION("""COMPUTED_VALUE"""),45857.55573163195)</f>
        <v>45857.55573</v>
      </c>
      <c r="B466" s="2" t="str">
        <f>IFERROR(__xludf.DUMMYFUNCTION("""COMPUTED_VALUE"""),"Post 10")</f>
        <v>Post 10</v>
      </c>
      <c r="C466" s="2" t="str">
        <f>IFERROR(__xludf.DUMMYFUNCTION("""COMPUTED_VALUE"""),"LAG 33")</f>
        <v>LAG 33</v>
      </c>
      <c r="D466" s="2">
        <f>IFERROR(__xludf.DUMMYFUNCTION("""COMPUTED_VALUE"""),15.0)</f>
        <v>15</v>
      </c>
      <c r="E466" s="2" t="str">
        <f>IFERROR(__xludf.DUMMYFUNCTION("""COMPUTED_VALUE"""),"Herrelag")</f>
        <v>Herrelag</v>
      </c>
    </row>
    <row r="467" ht="15.75" customHeight="1">
      <c r="A467" s="18">
        <f>IFERROR(__xludf.DUMMYFUNCTION("""COMPUTED_VALUE"""),45857.55578858797)</f>
        <v>45857.55579</v>
      </c>
      <c r="B467" s="2" t="str">
        <f>IFERROR(__xludf.DUMMYFUNCTION("""COMPUTED_VALUE"""),"Post 1")</f>
        <v>Post 1</v>
      </c>
      <c r="C467" s="2" t="str">
        <f>IFERROR(__xludf.DUMMYFUNCTION("""COMPUTED_VALUE"""),"LAG 72")</f>
        <v>LAG 72</v>
      </c>
      <c r="D467" s="2">
        <f>IFERROR(__xludf.DUMMYFUNCTION("""COMPUTED_VALUE"""),18.0)</f>
        <v>18</v>
      </c>
      <c r="E467" s="2" t="str">
        <f>IFERROR(__xludf.DUMMYFUNCTION("""COMPUTED_VALUE"""),"Herrelag")</f>
        <v>Herrelag</v>
      </c>
    </row>
    <row r="468" ht="15.75" customHeight="1">
      <c r="A468" s="18">
        <f>IFERROR(__xludf.DUMMYFUNCTION("""COMPUTED_VALUE"""),45857.556717037034)</f>
        <v>45857.55672</v>
      </c>
      <c r="B468" s="2" t="str">
        <f>IFERROR(__xludf.DUMMYFUNCTION("""COMPUTED_VALUE"""),"Post 8")</f>
        <v>Post 8</v>
      </c>
      <c r="C468" s="2" t="str">
        <f>IFERROR(__xludf.DUMMYFUNCTION("""COMPUTED_VALUE"""),"LAG 41")</f>
        <v>LAG 41</v>
      </c>
      <c r="D468" s="2">
        <f>IFERROR(__xludf.DUMMYFUNCTION("""COMPUTED_VALUE"""),18.0)</f>
        <v>18</v>
      </c>
      <c r="E468" s="2" t="str">
        <f>IFERROR(__xludf.DUMMYFUNCTION("""COMPUTED_VALUE"""),"Mixlag")</f>
        <v>Mixlag</v>
      </c>
    </row>
    <row r="469" ht="15.75" customHeight="1">
      <c r="A469" s="18">
        <f>IFERROR(__xludf.DUMMYFUNCTION("""COMPUTED_VALUE"""),45857.55672765046)</f>
        <v>45857.55673</v>
      </c>
      <c r="B469" s="2" t="str">
        <f>IFERROR(__xludf.DUMMYFUNCTION("""COMPUTED_VALUE"""),"Post 1")</f>
        <v>Post 1</v>
      </c>
      <c r="C469" s="2" t="str">
        <f>IFERROR(__xludf.DUMMYFUNCTION("""COMPUTED_VALUE"""),"LAG 17")</f>
        <v>LAG 17</v>
      </c>
      <c r="D469" s="2">
        <f>IFERROR(__xludf.DUMMYFUNCTION("""COMPUTED_VALUE"""),12.0)</f>
        <v>12</v>
      </c>
      <c r="E469" s="2" t="str">
        <f>IFERROR(__xludf.DUMMYFUNCTION("""COMPUTED_VALUE"""),"Damelag")</f>
        <v>Damelag</v>
      </c>
    </row>
    <row r="470" ht="15.75" customHeight="1">
      <c r="A470" s="18">
        <f>IFERROR(__xludf.DUMMYFUNCTION("""COMPUTED_VALUE"""),45857.55683528935)</f>
        <v>45857.55684</v>
      </c>
      <c r="B470" s="2" t="str">
        <f>IFERROR(__xludf.DUMMYFUNCTION("""COMPUTED_VALUE"""),"Post 9")</f>
        <v>Post 9</v>
      </c>
      <c r="C470" s="2" t="str">
        <f>IFERROR(__xludf.DUMMYFUNCTION("""COMPUTED_VALUE"""),"LAG 68")</f>
        <v>LAG 68</v>
      </c>
      <c r="D470" s="2">
        <f>IFERROR(__xludf.DUMMYFUNCTION("""COMPUTED_VALUE"""),26.0)</f>
        <v>26</v>
      </c>
      <c r="E470" s="2" t="str">
        <f>IFERROR(__xludf.DUMMYFUNCTION("""COMPUTED_VALUE"""),"Herrelag")</f>
        <v>Herrelag</v>
      </c>
    </row>
    <row r="471" ht="15.75" customHeight="1">
      <c r="A471" s="18">
        <f>IFERROR(__xludf.DUMMYFUNCTION("""COMPUTED_VALUE"""),45857.557132546295)</f>
        <v>45857.55713</v>
      </c>
      <c r="B471" s="2" t="str">
        <f>IFERROR(__xludf.DUMMYFUNCTION("""COMPUTED_VALUE"""),"Post 15")</f>
        <v>Post 15</v>
      </c>
      <c r="C471" s="2" t="str">
        <f>IFERROR(__xludf.DUMMYFUNCTION("""COMPUTED_VALUE"""),"LAG 80")</f>
        <v>LAG 80</v>
      </c>
      <c r="D471" s="2">
        <f>IFERROR(__xludf.DUMMYFUNCTION("""COMPUTED_VALUE"""),15.0)</f>
        <v>15</v>
      </c>
      <c r="E471" s="2" t="str">
        <f>IFERROR(__xludf.DUMMYFUNCTION("""COMPUTED_VALUE"""),"Herrelag")</f>
        <v>Herrelag</v>
      </c>
    </row>
    <row r="472" ht="15.75" customHeight="1">
      <c r="A472" s="18">
        <f>IFERROR(__xludf.DUMMYFUNCTION("""COMPUTED_VALUE"""),45857.55713353009)</f>
        <v>45857.55713</v>
      </c>
      <c r="B472" s="2" t="str">
        <f>IFERROR(__xludf.DUMMYFUNCTION("""COMPUTED_VALUE"""),"Post 12")</f>
        <v>Post 12</v>
      </c>
      <c r="C472" s="2" t="str">
        <f>IFERROR(__xludf.DUMMYFUNCTION("""COMPUTED_VALUE"""),"LAG 18")</f>
        <v>LAG 18</v>
      </c>
      <c r="D472" s="2">
        <f>IFERROR(__xludf.DUMMYFUNCTION("""COMPUTED_VALUE"""),12.0)</f>
        <v>12</v>
      </c>
      <c r="E472" s="2" t="str">
        <f>IFERROR(__xludf.DUMMYFUNCTION("""COMPUTED_VALUE"""),"Damelag")</f>
        <v>Damelag</v>
      </c>
    </row>
    <row r="473" ht="15.75" customHeight="1">
      <c r="A473" s="18">
        <f>IFERROR(__xludf.DUMMYFUNCTION("""COMPUTED_VALUE"""),45857.55723496528)</f>
        <v>45857.55723</v>
      </c>
      <c r="B473" s="2" t="str">
        <f>IFERROR(__xludf.DUMMYFUNCTION("""COMPUTED_VALUE"""),"Post 6")</f>
        <v>Post 6</v>
      </c>
      <c r="C473" s="2" t="str">
        <f>IFERROR(__xludf.DUMMYFUNCTION("""COMPUTED_VALUE"""),"LAG 70")</f>
        <v>LAG 70</v>
      </c>
      <c r="D473" s="2">
        <f>IFERROR(__xludf.DUMMYFUNCTION("""COMPUTED_VALUE"""),20.0)</f>
        <v>20</v>
      </c>
      <c r="E473" s="2" t="str">
        <f>IFERROR(__xludf.DUMMYFUNCTION("""COMPUTED_VALUE"""),"Mixlag")</f>
        <v>Mixlag</v>
      </c>
    </row>
    <row r="474" ht="15.75" customHeight="1">
      <c r="A474" s="18">
        <f>IFERROR(__xludf.DUMMYFUNCTION("""COMPUTED_VALUE"""),45857.55736607639)</f>
        <v>45857.55737</v>
      </c>
      <c r="B474" s="2" t="str">
        <f>IFERROR(__xludf.DUMMYFUNCTION("""COMPUTED_VALUE"""),"Post 20")</f>
        <v>Post 20</v>
      </c>
      <c r="C474" s="2" t="str">
        <f>IFERROR(__xludf.DUMMYFUNCTION("""COMPUTED_VALUE"""),"LAG 6")</f>
        <v>LAG 6</v>
      </c>
      <c r="D474" s="2">
        <f>IFERROR(__xludf.DUMMYFUNCTION("""COMPUTED_VALUE"""),30.0)</f>
        <v>30</v>
      </c>
      <c r="E474" s="2" t="str">
        <f>IFERROR(__xludf.DUMMYFUNCTION("""COMPUTED_VALUE"""),"Mixlag")</f>
        <v>Mixlag</v>
      </c>
    </row>
    <row r="475" ht="15.75" customHeight="1">
      <c r="A475" s="18">
        <f>IFERROR(__xludf.DUMMYFUNCTION("""COMPUTED_VALUE"""),45857.55760381944)</f>
        <v>45857.5576</v>
      </c>
      <c r="B475" s="2" t="str">
        <f>IFERROR(__xludf.DUMMYFUNCTION("""COMPUTED_VALUE"""),"Post 20")</f>
        <v>Post 20</v>
      </c>
      <c r="C475" s="2" t="str">
        <f>IFERROR(__xludf.DUMMYFUNCTION("""COMPUTED_VALUE"""),"LAG 7")</f>
        <v>LAG 7</v>
      </c>
      <c r="D475" s="2">
        <f>IFERROR(__xludf.DUMMYFUNCTION("""COMPUTED_VALUE"""),30.0)</f>
        <v>30</v>
      </c>
      <c r="E475" s="2" t="str">
        <f>IFERROR(__xludf.DUMMYFUNCTION("""COMPUTED_VALUE"""),"Mixlag")</f>
        <v>Mixlag</v>
      </c>
    </row>
    <row r="476" ht="15.75" customHeight="1">
      <c r="A476" s="18">
        <f>IFERROR(__xludf.DUMMYFUNCTION("""COMPUTED_VALUE"""),45857.557725590275)</f>
        <v>45857.55773</v>
      </c>
      <c r="B476" s="2" t="str">
        <f>IFERROR(__xludf.DUMMYFUNCTION("""COMPUTED_VALUE"""),"Post 13")</f>
        <v>Post 13</v>
      </c>
      <c r="C476" s="2" t="str">
        <f>IFERROR(__xludf.DUMMYFUNCTION("""COMPUTED_VALUE"""),"LAG 76")</f>
        <v>LAG 76</v>
      </c>
      <c r="D476" s="2">
        <f>IFERROR(__xludf.DUMMYFUNCTION("""COMPUTED_VALUE"""),25.0)</f>
        <v>25</v>
      </c>
      <c r="E476" s="2" t="str">
        <f>IFERROR(__xludf.DUMMYFUNCTION("""COMPUTED_VALUE"""),"Mixlag")</f>
        <v>Mixlag</v>
      </c>
    </row>
    <row r="477" ht="15.75" customHeight="1">
      <c r="A477" s="18">
        <f>IFERROR(__xludf.DUMMYFUNCTION("""COMPUTED_VALUE"""),45857.558239328704)</f>
        <v>45857.55824</v>
      </c>
      <c r="B477" s="2" t="str">
        <f>IFERROR(__xludf.DUMMYFUNCTION("""COMPUTED_VALUE"""),"Post 20")</f>
        <v>Post 20</v>
      </c>
      <c r="C477" s="2" t="str">
        <f>IFERROR(__xludf.DUMMYFUNCTION("""COMPUTED_VALUE"""),"LAG 9")</f>
        <v>LAG 9</v>
      </c>
      <c r="D477" s="2">
        <f>IFERROR(__xludf.DUMMYFUNCTION("""COMPUTED_VALUE"""),20.0)</f>
        <v>20</v>
      </c>
      <c r="E477" s="2" t="str">
        <f>IFERROR(__xludf.DUMMYFUNCTION("""COMPUTED_VALUE"""),"Herrelag")</f>
        <v>Herrelag</v>
      </c>
    </row>
    <row r="478" ht="15.75" customHeight="1">
      <c r="A478" s="18">
        <f>IFERROR(__xludf.DUMMYFUNCTION("""COMPUTED_VALUE"""),45857.55825834491)</f>
        <v>45857.55826</v>
      </c>
      <c r="B478" s="2" t="str">
        <f>IFERROR(__xludf.DUMMYFUNCTION("""COMPUTED_VALUE"""),"Post 18")</f>
        <v>Post 18</v>
      </c>
      <c r="C478" s="2" t="str">
        <f>IFERROR(__xludf.DUMMYFUNCTION("""COMPUTED_VALUE"""),"LAG 65")</f>
        <v>LAG 65</v>
      </c>
      <c r="D478" s="2">
        <f>IFERROR(__xludf.DUMMYFUNCTION("""COMPUTED_VALUE"""),11.0)</f>
        <v>11</v>
      </c>
      <c r="E478" s="2" t="str">
        <f>IFERROR(__xludf.DUMMYFUNCTION("""COMPUTED_VALUE"""),"Mixlag")</f>
        <v>Mixlag</v>
      </c>
    </row>
    <row r="479" ht="15.75" customHeight="1">
      <c r="A479" s="18">
        <f>IFERROR(__xludf.DUMMYFUNCTION("""COMPUTED_VALUE"""),45857.55861140046)</f>
        <v>45857.55861</v>
      </c>
      <c r="B479" s="2" t="str">
        <f>IFERROR(__xludf.DUMMYFUNCTION("""COMPUTED_VALUE"""),"Post 20")</f>
        <v>Post 20</v>
      </c>
      <c r="C479" s="2" t="str">
        <f>IFERROR(__xludf.DUMMYFUNCTION("""COMPUTED_VALUE"""),"LAG 10")</f>
        <v>LAG 10</v>
      </c>
      <c r="D479" s="2">
        <f>IFERROR(__xludf.DUMMYFUNCTION("""COMPUTED_VALUE"""),30.0)</f>
        <v>30</v>
      </c>
      <c r="E479" s="2" t="str">
        <f>IFERROR(__xludf.DUMMYFUNCTION("""COMPUTED_VALUE"""),"Herrelag")</f>
        <v>Herrelag</v>
      </c>
    </row>
    <row r="480" ht="15.75" customHeight="1">
      <c r="A480" s="18">
        <f>IFERROR(__xludf.DUMMYFUNCTION("""COMPUTED_VALUE"""),45857.55917335648)</f>
        <v>45857.55917</v>
      </c>
      <c r="B480" s="2" t="str">
        <f>IFERROR(__xludf.DUMMYFUNCTION("""COMPUTED_VALUE"""),"Post 20")</f>
        <v>Post 20</v>
      </c>
      <c r="C480" s="2" t="str">
        <f>IFERROR(__xludf.DUMMYFUNCTION("""COMPUTED_VALUE"""),"LAG 13")</f>
        <v>LAG 13</v>
      </c>
      <c r="D480" s="2">
        <f>IFERROR(__xludf.DUMMYFUNCTION("""COMPUTED_VALUE"""),30.0)</f>
        <v>30</v>
      </c>
      <c r="E480" s="2" t="str">
        <f>IFERROR(__xludf.DUMMYFUNCTION("""COMPUTED_VALUE"""),"Herrelag")</f>
        <v>Herrelag</v>
      </c>
    </row>
    <row r="481" ht="15.75" customHeight="1">
      <c r="A481" s="18">
        <f>IFERROR(__xludf.DUMMYFUNCTION("""COMPUTED_VALUE"""),45857.55926071759)</f>
        <v>45857.55926</v>
      </c>
      <c r="B481" s="2" t="str">
        <f>IFERROR(__xludf.DUMMYFUNCTION("""COMPUTED_VALUE"""),"Post 8")</f>
        <v>Post 8</v>
      </c>
      <c r="C481" s="2" t="str">
        <f>IFERROR(__xludf.DUMMYFUNCTION("""COMPUTED_VALUE"""),"LAG 27")</f>
        <v>LAG 27</v>
      </c>
      <c r="D481" s="2">
        <f>IFERROR(__xludf.DUMMYFUNCTION("""COMPUTED_VALUE"""),16.0)</f>
        <v>16</v>
      </c>
      <c r="E481" s="2" t="str">
        <f>IFERROR(__xludf.DUMMYFUNCTION("""COMPUTED_VALUE"""),"Damelag")</f>
        <v>Damelag</v>
      </c>
    </row>
    <row r="482" ht="15.75" customHeight="1">
      <c r="A482" s="18">
        <f>IFERROR(__xludf.DUMMYFUNCTION("""COMPUTED_VALUE"""),45857.55941430556)</f>
        <v>45857.55941</v>
      </c>
      <c r="B482" s="2" t="str">
        <f>IFERROR(__xludf.DUMMYFUNCTION("""COMPUTED_VALUE"""),"Post 3")</f>
        <v>Post 3</v>
      </c>
      <c r="C482" s="2" t="str">
        <f>IFERROR(__xludf.DUMMYFUNCTION("""COMPUTED_VALUE"""),"LAG 23")</f>
        <v>LAG 23</v>
      </c>
      <c r="D482" s="2">
        <f>IFERROR(__xludf.DUMMYFUNCTION("""COMPUTED_VALUE"""),14.0)</f>
        <v>14</v>
      </c>
      <c r="E482" s="2" t="str">
        <f>IFERROR(__xludf.DUMMYFUNCTION("""COMPUTED_VALUE"""),"Damelag")</f>
        <v>Damelag</v>
      </c>
    </row>
    <row r="483" ht="15.75" customHeight="1">
      <c r="A483" s="18">
        <f>IFERROR(__xludf.DUMMYFUNCTION("""COMPUTED_VALUE"""),45857.55948111111)</f>
        <v>45857.55948</v>
      </c>
      <c r="B483" s="2" t="str">
        <f>IFERROR(__xludf.DUMMYFUNCTION("""COMPUTED_VALUE"""),"Post 18")</f>
        <v>Post 18</v>
      </c>
      <c r="C483" s="2" t="str">
        <f>IFERROR(__xludf.DUMMYFUNCTION("""COMPUTED_VALUE"""),"LAG 80")</f>
        <v>LAG 80</v>
      </c>
      <c r="D483" s="2">
        <f>IFERROR(__xludf.DUMMYFUNCTION("""COMPUTED_VALUE"""),9.0)</f>
        <v>9</v>
      </c>
      <c r="E483" s="2" t="str">
        <f>IFERROR(__xludf.DUMMYFUNCTION("""COMPUTED_VALUE"""),"Herrelag")</f>
        <v>Herrelag</v>
      </c>
    </row>
    <row r="484" ht="15.75" customHeight="1">
      <c r="A484" s="18">
        <f>IFERROR(__xludf.DUMMYFUNCTION("""COMPUTED_VALUE"""),45857.55949071759)</f>
        <v>45857.55949</v>
      </c>
      <c r="B484" s="2" t="str">
        <f>IFERROR(__xludf.DUMMYFUNCTION("""COMPUTED_VALUE"""),"Post 20")</f>
        <v>Post 20</v>
      </c>
      <c r="C484" s="2" t="str">
        <f>IFERROR(__xludf.DUMMYFUNCTION("""COMPUTED_VALUE"""),"LAG 20")</f>
        <v>LAG 20</v>
      </c>
      <c r="D484" s="2">
        <f>IFERROR(__xludf.DUMMYFUNCTION("""COMPUTED_VALUE"""),30.0)</f>
        <v>30</v>
      </c>
      <c r="E484" s="2" t="str">
        <f>IFERROR(__xludf.DUMMYFUNCTION("""COMPUTED_VALUE"""),"Damelag")</f>
        <v>Damelag</v>
      </c>
    </row>
    <row r="485" ht="15.75" customHeight="1">
      <c r="A485" s="18">
        <f>IFERROR(__xludf.DUMMYFUNCTION("""COMPUTED_VALUE"""),45857.55966186343)</f>
        <v>45857.55966</v>
      </c>
      <c r="B485" s="2" t="str">
        <f>IFERROR(__xludf.DUMMYFUNCTION("""COMPUTED_VALUE"""),"Post 1")</f>
        <v>Post 1</v>
      </c>
      <c r="C485" s="2" t="str">
        <f>IFERROR(__xludf.DUMMYFUNCTION("""COMPUTED_VALUE"""),"LAG 39")</f>
        <v>LAG 39</v>
      </c>
      <c r="D485" s="2">
        <f>IFERROR(__xludf.DUMMYFUNCTION("""COMPUTED_VALUE"""),18.0)</f>
        <v>18</v>
      </c>
      <c r="E485" s="2" t="str">
        <f>IFERROR(__xludf.DUMMYFUNCTION("""COMPUTED_VALUE"""),"Herrelag")</f>
        <v>Herrelag</v>
      </c>
    </row>
    <row r="486" ht="15.75" customHeight="1">
      <c r="A486" s="18">
        <f>IFERROR(__xludf.DUMMYFUNCTION("""COMPUTED_VALUE"""),45857.55966261574)</f>
        <v>45857.55966</v>
      </c>
      <c r="B486" s="2" t="str">
        <f>IFERROR(__xludf.DUMMYFUNCTION("""COMPUTED_VALUE"""),"Post 13")</f>
        <v>Post 13</v>
      </c>
      <c r="C486" s="2" t="str">
        <f>IFERROR(__xludf.DUMMYFUNCTION("""COMPUTED_VALUE"""),"LAG 72")</f>
        <v>LAG 72</v>
      </c>
      <c r="D486" s="2">
        <f>IFERROR(__xludf.DUMMYFUNCTION("""COMPUTED_VALUE"""),30.0)</f>
        <v>30</v>
      </c>
      <c r="E486" s="2" t="str">
        <f>IFERROR(__xludf.DUMMYFUNCTION("""COMPUTED_VALUE"""),"Herrelag")</f>
        <v>Herrelag</v>
      </c>
    </row>
    <row r="487" ht="15.75" customHeight="1">
      <c r="A487" s="18">
        <f>IFERROR(__xludf.DUMMYFUNCTION("""COMPUTED_VALUE"""),45857.55969009259)</f>
        <v>45857.55969</v>
      </c>
      <c r="B487" s="2" t="str">
        <f>IFERROR(__xludf.DUMMYFUNCTION("""COMPUTED_VALUE"""),"Post 12")</f>
        <v>Post 12</v>
      </c>
      <c r="C487" s="2" t="str">
        <f>IFERROR(__xludf.DUMMYFUNCTION("""COMPUTED_VALUE"""),"LAG 11")</f>
        <v>LAG 11</v>
      </c>
      <c r="D487" s="2">
        <f>IFERROR(__xludf.DUMMYFUNCTION("""COMPUTED_VALUE"""),13.0)</f>
        <v>13</v>
      </c>
      <c r="E487" s="2" t="str">
        <f>IFERROR(__xludf.DUMMYFUNCTION("""COMPUTED_VALUE"""),"Damelag")</f>
        <v>Damelag</v>
      </c>
    </row>
    <row r="488" ht="15.75" customHeight="1">
      <c r="A488" s="18">
        <f>IFERROR(__xludf.DUMMYFUNCTION("""COMPUTED_VALUE"""),45857.560053333335)</f>
        <v>45857.56005</v>
      </c>
      <c r="B488" s="2" t="str">
        <f>IFERROR(__xludf.DUMMYFUNCTION("""COMPUTED_VALUE"""),"Post 4")</f>
        <v>Post 4</v>
      </c>
      <c r="C488" s="2" t="str">
        <f>IFERROR(__xludf.DUMMYFUNCTION("""COMPUTED_VALUE"""),"LAG 70")</f>
        <v>LAG 70</v>
      </c>
      <c r="D488" s="2">
        <f>IFERROR(__xludf.DUMMYFUNCTION("""COMPUTED_VALUE"""),15.0)</f>
        <v>15</v>
      </c>
      <c r="E488" s="2" t="str">
        <f>IFERROR(__xludf.DUMMYFUNCTION("""COMPUTED_VALUE"""),"Mixlag")</f>
        <v>Mixlag</v>
      </c>
    </row>
    <row r="489" ht="15.75" customHeight="1">
      <c r="A489" s="18">
        <f>IFERROR(__xludf.DUMMYFUNCTION("""COMPUTED_VALUE"""),45857.560130439815)</f>
        <v>45857.56013</v>
      </c>
      <c r="B489" s="2" t="str">
        <f>IFERROR(__xludf.DUMMYFUNCTION("""COMPUTED_VALUE"""),"Post 6")</f>
        <v>Post 6</v>
      </c>
      <c r="C489" s="2" t="str">
        <f>IFERROR(__xludf.DUMMYFUNCTION("""COMPUTED_VALUE"""),"LAG 10")</f>
        <v>LAG 10</v>
      </c>
      <c r="D489" s="2">
        <f>IFERROR(__xludf.DUMMYFUNCTION("""COMPUTED_VALUE"""),16.0)</f>
        <v>16</v>
      </c>
      <c r="E489" s="2" t="str">
        <f>IFERROR(__xludf.DUMMYFUNCTION("""COMPUTED_VALUE"""),"Herrelag")</f>
        <v>Herrelag</v>
      </c>
    </row>
    <row r="490" ht="15.75" customHeight="1">
      <c r="A490" s="18">
        <f>IFERROR(__xludf.DUMMYFUNCTION("""COMPUTED_VALUE"""),45857.56018571759)</f>
        <v>45857.56019</v>
      </c>
      <c r="B490" s="2" t="str">
        <f>IFERROR(__xludf.DUMMYFUNCTION("""COMPUTED_VALUE"""),"Post 20")</f>
        <v>Post 20</v>
      </c>
      <c r="C490" s="2" t="str">
        <f>IFERROR(__xludf.DUMMYFUNCTION("""COMPUTED_VALUE"""),"LAG 31")</f>
        <v>LAG 31</v>
      </c>
      <c r="D490" s="2">
        <f>IFERROR(__xludf.DUMMYFUNCTION("""COMPUTED_VALUE"""),30.0)</f>
        <v>30</v>
      </c>
      <c r="E490" s="2" t="str">
        <f>IFERROR(__xludf.DUMMYFUNCTION("""COMPUTED_VALUE"""),"Mixlag")</f>
        <v>Mixlag</v>
      </c>
    </row>
    <row r="491" ht="15.75" customHeight="1">
      <c r="A491" s="18">
        <f>IFERROR(__xludf.DUMMYFUNCTION("""COMPUTED_VALUE"""),45857.56024357639)</f>
        <v>45857.56024</v>
      </c>
      <c r="B491" s="2" t="str">
        <f>IFERROR(__xludf.DUMMYFUNCTION("""COMPUTED_VALUE"""),"Post 12")</f>
        <v>Post 12</v>
      </c>
      <c r="C491" s="2" t="str">
        <f>IFERROR(__xludf.DUMMYFUNCTION("""COMPUTED_VALUE"""),"LAG 75")</f>
        <v>LAG 75</v>
      </c>
      <c r="D491" s="2">
        <f>IFERROR(__xludf.DUMMYFUNCTION("""COMPUTED_VALUE"""),12.0)</f>
        <v>12</v>
      </c>
      <c r="E491" s="2" t="str">
        <f>IFERROR(__xludf.DUMMYFUNCTION("""COMPUTED_VALUE"""),"Herrelag")</f>
        <v>Herrelag</v>
      </c>
    </row>
    <row r="492" ht="15.75" customHeight="1">
      <c r="A492" s="18">
        <f>IFERROR(__xludf.DUMMYFUNCTION("""COMPUTED_VALUE"""),45857.56066564815)</f>
        <v>45857.56067</v>
      </c>
      <c r="B492" s="2" t="str">
        <f>IFERROR(__xludf.DUMMYFUNCTION("""COMPUTED_VALUE"""),"Post 20")</f>
        <v>Post 20</v>
      </c>
      <c r="C492" s="2" t="str">
        <f>IFERROR(__xludf.DUMMYFUNCTION("""COMPUTED_VALUE"""),"LAG 33")</f>
        <v>LAG 33</v>
      </c>
      <c r="D492" s="2">
        <f>IFERROR(__xludf.DUMMYFUNCTION("""COMPUTED_VALUE"""),20.0)</f>
        <v>20</v>
      </c>
      <c r="E492" s="2" t="str">
        <f>IFERROR(__xludf.DUMMYFUNCTION("""COMPUTED_VALUE"""),"Herrelag")</f>
        <v>Herrelag</v>
      </c>
    </row>
    <row r="493" ht="15.75" customHeight="1">
      <c r="A493" s="18">
        <f>IFERROR(__xludf.DUMMYFUNCTION("""COMPUTED_VALUE"""),45857.560867858796)</f>
        <v>45857.56087</v>
      </c>
      <c r="B493" s="2" t="str">
        <f>IFERROR(__xludf.DUMMYFUNCTION("""COMPUTED_VALUE"""),"Post 18")</f>
        <v>Post 18</v>
      </c>
      <c r="C493" s="2" t="str">
        <f>IFERROR(__xludf.DUMMYFUNCTION("""COMPUTED_VALUE"""),"LAG 7")</f>
        <v>LAG 7</v>
      </c>
      <c r="D493" s="2">
        <f>IFERROR(__xludf.DUMMYFUNCTION("""COMPUTED_VALUE"""),7.0)</f>
        <v>7</v>
      </c>
      <c r="E493" s="2" t="str">
        <f>IFERROR(__xludf.DUMMYFUNCTION("""COMPUTED_VALUE"""),"Mixlag")</f>
        <v>Mixlag</v>
      </c>
    </row>
    <row r="494" ht="15.75" customHeight="1">
      <c r="A494" s="18">
        <f>IFERROR(__xludf.DUMMYFUNCTION("""COMPUTED_VALUE"""),45857.56100206019)</f>
        <v>45857.561</v>
      </c>
      <c r="B494" s="2" t="str">
        <f>IFERROR(__xludf.DUMMYFUNCTION("""COMPUTED_VALUE"""),"Post 20")</f>
        <v>Post 20</v>
      </c>
      <c r="C494" s="2" t="str">
        <f>IFERROR(__xludf.DUMMYFUNCTION("""COMPUTED_VALUE"""),"LAG 35")</f>
        <v>LAG 35</v>
      </c>
      <c r="D494" s="2">
        <f>IFERROR(__xludf.DUMMYFUNCTION("""COMPUTED_VALUE"""),20.0)</f>
        <v>20</v>
      </c>
      <c r="E494" s="2" t="str">
        <f>IFERROR(__xludf.DUMMYFUNCTION("""COMPUTED_VALUE"""),"Damelag")</f>
        <v>Damelag</v>
      </c>
    </row>
    <row r="495" ht="15.75" customHeight="1">
      <c r="A495" s="18">
        <f>IFERROR(__xludf.DUMMYFUNCTION("""COMPUTED_VALUE"""),45857.56100325231)</f>
        <v>45857.561</v>
      </c>
      <c r="B495" s="2" t="str">
        <f>IFERROR(__xludf.DUMMYFUNCTION("""COMPUTED_VALUE"""),"Post 4")</f>
        <v>Post 4</v>
      </c>
      <c r="C495" s="2" t="str">
        <f>IFERROR(__xludf.DUMMYFUNCTION("""COMPUTED_VALUE"""),"LAG 56")</f>
        <v>LAG 56</v>
      </c>
      <c r="D495" s="2">
        <f>IFERROR(__xludf.DUMMYFUNCTION("""COMPUTED_VALUE"""),15.0)</f>
        <v>15</v>
      </c>
      <c r="E495" s="2" t="str">
        <f>IFERROR(__xludf.DUMMYFUNCTION("""COMPUTED_VALUE"""),"Mixlag")</f>
        <v>Mixlag</v>
      </c>
    </row>
    <row r="496" ht="15.75" customHeight="1">
      <c r="A496" s="18">
        <f>IFERROR(__xludf.DUMMYFUNCTION("""COMPUTED_VALUE"""),45857.561152002316)</f>
        <v>45857.56115</v>
      </c>
      <c r="B496" s="2" t="str">
        <f>IFERROR(__xludf.DUMMYFUNCTION("""COMPUTED_VALUE"""),"Post 3")</f>
        <v>Post 3</v>
      </c>
      <c r="C496" s="2" t="str">
        <f>IFERROR(__xludf.DUMMYFUNCTION("""COMPUTED_VALUE"""),"LAG 12")</f>
        <v>LAG 12</v>
      </c>
      <c r="D496" s="2">
        <f>IFERROR(__xludf.DUMMYFUNCTION("""COMPUTED_VALUE"""),15.0)</f>
        <v>15</v>
      </c>
      <c r="E496" s="2" t="str">
        <f>IFERROR(__xludf.DUMMYFUNCTION("""COMPUTED_VALUE"""),"Damelag")</f>
        <v>Damelag</v>
      </c>
    </row>
    <row r="497" ht="15.75" customHeight="1">
      <c r="A497" s="18">
        <f>IFERROR(__xludf.DUMMYFUNCTION("""COMPUTED_VALUE"""),45857.561484895836)</f>
        <v>45857.56148</v>
      </c>
      <c r="B497" s="2" t="str">
        <f>IFERROR(__xludf.DUMMYFUNCTION("""COMPUTED_VALUE"""),"Post 13")</f>
        <v>Post 13</v>
      </c>
      <c r="C497" s="2" t="str">
        <f>IFERROR(__xludf.DUMMYFUNCTION("""COMPUTED_VALUE"""),"LAG 17")</f>
        <v>LAG 17</v>
      </c>
      <c r="D497" s="2">
        <f>IFERROR(__xludf.DUMMYFUNCTION("""COMPUTED_VALUE"""),25.0)</f>
        <v>25</v>
      </c>
      <c r="E497" s="2" t="str">
        <f>IFERROR(__xludf.DUMMYFUNCTION("""COMPUTED_VALUE"""),"Damelag")</f>
        <v>Damelag</v>
      </c>
    </row>
    <row r="498" ht="15.75" customHeight="1">
      <c r="A498" s="18">
        <f>IFERROR(__xludf.DUMMYFUNCTION("""COMPUTED_VALUE"""),45857.56159444444)</f>
        <v>45857.56159</v>
      </c>
      <c r="B498" s="2" t="str">
        <f>IFERROR(__xludf.DUMMYFUNCTION("""COMPUTED_VALUE"""),"Post 20")</f>
        <v>Post 20</v>
      </c>
      <c r="C498" s="2" t="str">
        <f>IFERROR(__xludf.DUMMYFUNCTION("""COMPUTED_VALUE"""),"LAG 48")</f>
        <v>LAG 48</v>
      </c>
      <c r="D498" s="2">
        <f>IFERROR(__xludf.DUMMYFUNCTION("""COMPUTED_VALUE"""),30.0)</f>
        <v>30</v>
      </c>
      <c r="E498" s="2" t="str">
        <f>IFERROR(__xludf.DUMMYFUNCTION("""COMPUTED_VALUE"""),"Damelag")</f>
        <v>Damelag</v>
      </c>
    </row>
    <row r="499" ht="15.75" customHeight="1">
      <c r="A499" s="18">
        <f>IFERROR(__xludf.DUMMYFUNCTION("""COMPUTED_VALUE"""),45857.56164186343)</f>
        <v>45857.56164</v>
      </c>
      <c r="B499" s="2" t="str">
        <f>IFERROR(__xludf.DUMMYFUNCTION("""COMPUTED_VALUE"""),"Post 10")</f>
        <v>Post 10</v>
      </c>
      <c r="C499" s="2" t="str">
        <f>IFERROR(__xludf.DUMMYFUNCTION("""COMPUTED_VALUE"""),"LAG 32")</f>
        <v>LAG 32</v>
      </c>
      <c r="D499" s="2">
        <f>IFERROR(__xludf.DUMMYFUNCTION("""COMPUTED_VALUE"""),15.0)</f>
        <v>15</v>
      </c>
      <c r="E499" s="2" t="str">
        <f>IFERROR(__xludf.DUMMYFUNCTION("""COMPUTED_VALUE"""),"Damelag")</f>
        <v>Damelag</v>
      </c>
    </row>
    <row r="500" ht="15.75" customHeight="1">
      <c r="A500" s="18">
        <f>IFERROR(__xludf.DUMMYFUNCTION("""COMPUTED_VALUE"""),45857.561760937504)</f>
        <v>45857.56176</v>
      </c>
      <c r="B500" s="2" t="str">
        <f>IFERROR(__xludf.DUMMYFUNCTION("""COMPUTED_VALUE"""),"Post 9")</f>
        <v>Post 9</v>
      </c>
      <c r="C500" s="2" t="str">
        <f>IFERROR(__xludf.DUMMYFUNCTION("""COMPUTED_VALUE"""),"LAG 26")</f>
        <v>LAG 26</v>
      </c>
      <c r="D500" s="2">
        <f>IFERROR(__xludf.DUMMYFUNCTION("""COMPUTED_VALUE"""),25.0)</f>
        <v>25</v>
      </c>
      <c r="E500" s="2" t="str">
        <f>IFERROR(__xludf.DUMMYFUNCTION("""COMPUTED_VALUE"""),"Damelag")</f>
        <v>Damelag</v>
      </c>
    </row>
    <row r="501" ht="15.75" customHeight="1">
      <c r="A501" s="18">
        <f>IFERROR(__xludf.DUMMYFUNCTION("""COMPUTED_VALUE"""),45857.56186696759)</f>
        <v>45857.56187</v>
      </c>
      <c r="B501" s="2" t="str">
        <f>IFERROR(__xludf.DUMMYFUNCTION("""COMPUTED_VALUE"""),"Post 8")</f>
        <v>Post 8</v>
      </c>
      <c r="C501" s="2" t="str">
        <f>IFERROR(__xludf.DUMMYFUNCTION("""COMPUTED_VALUE"""),"LAG 28")</f>
        <v>LAG 28</v>
      </c>
      <c r="D501" s="2">
        <f>IFERROR(__xludf.DUMMYFUNCTION("""COMPUTED_VALUE"""),16.0)</f>
        <v>16</v>
      </c>
      <c r="E501" s="2" t="str">
        <f>IFERROR(__xludf.DUMMYFUNCTION("""COMPUTED_VALUE"""),"Damelag")</f>
        <v>Damelag</v>
      </c>
    </row>
    <row r="502" ht="15.75" customHeight="1">
      <c r="A502" s="18">
        <f>IFERROR(__xludf.DUMMYFUNCTION("""COMPUTED_VALUE"""),45857.5618927662)</f>
        <v>45857.56189</v>
      </c>
      <c r="B502" s="2" t="str">
        <f>IFERROR(__xludf.DUMMYFUNCTION("""COMPUTED_VALUE"""),"Post 20")</f>
        <v>Post 20</v>
      </c>
      <c r="C502" s="2" t="str">
        <f>IFERROR(__xludf.DUMMYFUNCTION("""COMPUTED_VALUE"""),"LAG 51")</f>
        <v>LAG 51</v>
      </c>
      <c r="D502" s="2">
        <f>IFERROR(__xludf.DUMMYFUNCTION("""COMPUTED_VALUE"""),20.0)</f>
        <v>20</v>
      </c>
      <c r="E502" s="2" t="str">
        <f>IFERROR(__xludf.DUMMYFUNCTION("""COMPUTED_VALUE"""),"Mixlag")</f>
        <v>Mixlag</v>
      </c>
    </row>
    <row r="503" ht="15.75" customHeight="1">
      <c r="A503" s="18">
        <f>IFERROR(__xludf.DUMMYFUNCTION("""COMPUTED_VALUE"""),45857.56221797454)</f>
        <v>45857.56222</v>
      </c>
      <c r="B503" s="2" t="str">
        <f>IFERROR(__xludf.DUMMYFUNCTION("""COMPUTED_VALUE"""),"Post 6")</f>
        <v>Post 6</v>
      </c>
      <c r="C503" s="2" t="str">
        <f>IFERROR(__xludf.DUMMYFUNCTION("""COMPUTED_VALUE"""),"LAG 82")</f>
        <v>LAG 82</v>
      </c>
      <c r="D503" s="2">
        <f>IFERROR(__xludf.DUMMYFUNCTION("""COMPUTED_VALUE"""),16.0)</f>
        <v>16</v>
      </c>
      <c r="E503" s="2" t="str">
        <f>IFERROR(__xludf.DUMMYFUNCTION("""COMPUTED_VALUE"""),"Mixlag")</f>
        <v>Mixlag</v>
      </c>
    </row>
    <row r="504" ht="15.75" customHeight="1">
      <c r="A504" s="18">
        <f>IFERROR(__xludf.DUMMYFUNCTION("""COMPUTED_VALUE"""),45857.562263287036)</f>
        <v>45857.56226</v>
      </c>
      <c r="B504" s="2" t="str">
        <f>IFERROR(__xludf.DUMMYFUNCTION("""COMPUTED_VALUE"""),"Post 20")</f>
        <v>Post 20</v>
      </c>
      <c r="C504" s="2" t="str">
        <f>IFERROR(__xludf.DUMMYFUNCTION("""COMPUTED_VALUE"""),"LAG 54")</f>
        <v>LAG 54</v>
      </c>
      <c r="D504" s="2">
        <f>IFERROR(__xludf.DUMMYFUNCTION("""COMPUTED_VALUE"""),20.0)</f>
        <v>20</v>
      </c>
      <c r="E504" s="2" t="str">
        <f>IFERROR(__xludf.DUMMYFUNCTION("""COMPUTED_VALUE"""),"Damelag")</f>
        <v>Damelag</v>
      </c>
    </row>
    <row r="505" ht="15.75" customHeight="1">
      <c r="A505" s="18">
        <f>IFERROR(__xludf.DUMMYFUNCTION("""COMPUTED_VALUE"""),45857.56227923611)</f>
        <v>45857.56228</v>
      </c>
      <c r="B505" s="2" t="str">
        <f>IFERROR(__xludf.DUMMYFUNCTION("""COMPUTED_VALUE"""),"Post 10")</f>
        <v>Post 10</v>
      </c>
      <c r="C505" s="2" t="str">
        <f>IFERROR(__xludf.DUMMYFUNCTION("""COMPUTED_VALUE"""),"LAG 36")</f>
        <v>LAG 36</v>
      </c>
      <c r="D505" s="2">
        <f>IFERROR(__xludf.DUMMYFUNCTION("""COMPUTED_VALUE"""),13.0)</f>
        <v>13</v>
      </c>
      <c r="E505" s="2" t="str">
        <f>IFERROR(__xludf.DUMMYFUNCTION("""COMPUTED_VALUE"""),"Herrelag")</f>
        <v>Herrelag</v>
      </c>
    </row>
    <row r="506" ht="15.75" customHeight="1">
      <c r="A506" s="18">
        <f>IFERROR(__xludf.DUMMYFUNCTION("""COMPUTED_VALUE"""),45857.56255292824)</f>
        <v>45857.56255</v>
      </c>
      <c r="B506" s="2" t="str">
        <f>IFERROR(__xludf.DUMMYFUNCTION("""COMPUTED_VALUE"""),"Post 12")</f>
        <v>Post 12</v>
      </c>
      <c r="C506" s="2" t="str">
        <f>IFERROR(__xludf.DUMMYFUNCTION("""COMPUTED_VALUE"""),"LAG 65")</f>
        <v>LAG 65</v>
      </c>
      <c r="D506" s="2">
        <f>IFERROR(__xludf.DUMMYFUNCTION("""COMPUTED_VALUE"""),18.0)</f>
        <v>18</v>
      </c>
      <c r="E506" s="2" t="str">
        <f>IFERROR(__xludf.DUMMYFUNCTION("""COMPUTED_VALUE"""),"Mixlag")</f>
        <v>Mixlag</v>
      </c>
    </row>
    <row r="507" ht="15.75" customHeight="1">
      <c r="A507" s="18">
        <f>IFERROR(__xludf.DUMMYFUNCTION("""COMPUTED_VALUE"""),45857.56261784722)</f>
        <v>45857.56262</v>
      </c>
      <c r="B507" s="2" t="str">
        <f>IFERROR(__xludf.DUMMYFUNCTION("""COMPUTED_VALUE"""),"Post 4")</f>
        <v>Post 4</v>
      </c>
      <c r="C507" s="2" t="str">
        <f>IFERROR(__xludf.DUMMYFUNCTION("""COMPUTED_VALUE"""),"LAG 60")</f>
        <v>LAG 60</v>
      </c>
      <c r="D507" s="2">
        <f>IFERROR(__xludf.DUMMYFUNCTION("""COMPUTED_VALUE"""),10.0)</f>
        <v>10</v>
      </c>
      <c r="E507" s="2" t="str">
        <f>IFERROR(__xludf.DUMMYFUNCTION("""COMPUTED_VALUE"""),"Herrelag")</f>
        <v>Herrelag</v>
      </c>
    </row>
    <row r="508" ht="15.75" customHeight="1">
      <c r="A508" s="18">
        <f>IFERROR(__xludf.DUMMYFUNCTION("""COMPUTED_VALUE"""),45857.56269355324)</f>
        <v>45857.56269</v>
      </c>
      <c r="B508" s="2" t="str">
        <f>IFERROR(__xludf.DUMMYFUNCTION("""COMPUTED_VALUE"""),"Post 15")</f>
        <v>Post 15</v>
      </c>
      <c r="C508" s="2" t="str">
        <f>IFERROR(__xludf.DUMMYFUNCTION("""COMPUTED_VALUE"""),"LAG 30")</f>
        <v>LAG 30</v>
      </c>
      <c r="D508" s="2">
        <f>IFERROR(__xludf.DUMMYFUNCTION("""COMPUTED_VALUE"""),5.0)</f>
        <v>5</v>
      </c>
      <c r="E508" s="2" t="str">
        <f>IFERROR(__xludf.DUMMYFUNCTION("""COMPUTED_VALUE"""),"Damelag")</f>
        <v>Damelag</v>
      </c>
    </row>
    <row r="509" ht="15.75" customHeight="1">
      <c r="A509" s="18">
        <f>IFERROR(__xludf.DUMMYFUNCTION("""COMPUTED_VALUE"""),45857.56282203704)</f>
        <v>45857.56282</v>
      </c>
      <c r="B509" s="2" t="str">
        <f>IFERROR(__xludf.DUMMYFUNCTION("""COMPUTED_VALUE"""),"Post 12")</f>
        <v>Post 12</v>
      </c>
      <c r="C509" s="2" t="str">
        <f>IFERROR(__xludf.DUMMYFUNCTION("""COMPUTED_VALUE"""),"LAG 74")</f>
        <v>LAG 74</v>
      </c>
      <c r="D509" s="2">
        <f>IFERROR(__xludf.DUMMYFUNCTION("""COMPUTED_VALUE"""),19.0)</f>
        <v>19</v>
      </c>
      <c r="E509" s="2" t="str">
        <f>IFERROR(__xludf.DUMMYFUNCTION("""COMPUTED_VALUE"""),"Damelag")</f>
        <v>Damelag</v>
      </c>
    </row>
    <row r="510" ht="15.75" customHeight="1">
      <c r="A510" s="18">
        <f>IFERROR(__xludf.DUMMYFUNCTION("""COMPUTED_VALUE"""),45857.56310315972)</f>
        <v>45857.5631</v>
      </c>
      <c r="B510" s="2" t="str">
        <f>IFERROR(__xludf.DUMMYFUNCTION("""COMPUTED_VALUE"""),"Post 18")</f>
        <v>Post 18</v>
      </c>
      <c r="C510" s="2" t="str">
        <f>IFERROR(__xludf.DUMMYFUNCTION("""COMPUTED_VALUE"""),"LAG 56")</f>
        <v>LAG 56</v>
      </c>
      <c r="D510" s="2">
        <f>IFERROR(__xludf.DUMMYFUNCTION("""COMPUTED_VALUE"""),8.0)</f>
        <v>8</v>
      </c>
      <c r="E510" s="2" t="str">
        <f>IFERROR(__xludf.DUMMYFUNCTION("""COMPUTED_VALUE"""),"Mixlag")</f>
        <v>Mixlag</v>
      </c>
    </row>
    <row r="511" ht="15.75" customHeight="1">
      <c r="A511" s="18">
        <f>IFERROR(__xludf.DUMMYFUNCTION("""COMPUTED_VALUE"""),45857.56312864584)</f>
        <v>45857.56313</v>
      </c>
      <c r="B511" s="2" t="str">
        <f>IFERROR(__xludf.DUMMYFUNCTION("""COMPUTED_VALUE"""),"Post 1")</f>
        <v>Post 1</v>
      </c>
      <c r="C511" s="2" t="str">
        <f>IFERROR(__xludf.DUMMYFUNCTION("""COMPUTED_VALUE"""),"LAG 68")</f>
        <v>LAG 68</v>
      </c>
      <c r="D511" s="2">
        <f>IFERROR(__xludf.DUMMYFUNCTION("""COMPUTED_VALUE"""),0.0)</f>
        <v>0</v>
      </c>
      <c r="E511" s="2" t="str">
        <f>IFERROR(__xludf.DUMMYFUNCTION("""COMPUTED_VALUE"""),"Herrelag")</f>
        <v>Herrelag</v>
      </c>
    </row>
    <row r="512" ht="15.75" customHeight="1">
      <c r="A512" s="18">
        <f>IFERROR(__xludf.DUMMYFUNCTION("""COMPUTED_VALUE"""),45857.56338291666)</f>
        <v>45857.56338</v>
      </c>
      <c r="B512" s="2" t="str">
        <f>IFERROR(__xludf.DUMMYFUNCTION("""COMPUTED_VALUE"""),"Post 15")</f>
        <v>Post 15</v>
      </c>
      <c r="C512" s="2" t="str">
        <f>IFERROR(__xludf.DUMMYFUNCTION("""COMPUTED_VALUE"""),"LAG 69")</f>
        <v>LAG 69</v>
      </c>
      <c r="D512" s="2">
        <f>IFERROR(__xludf.DUMMYFUNCTION("""COMPUTED_VALUE"""),5.0)</f>
        <v>5</v>
      </c>
      <c r="E512" s="2" t="str">
        <f>IFERROR(__xludf.DUMMYFUNCTION("""COMPUTED_VALUE"""),"Herrelag")</f>
        <v>Herrelag</v>
      </c>
    </row>
    <row r="513" ht="15.75" customHeight="1">
      <c r="A513" s="18">
        <f>IFERROR(__xludf.DUMMYFUNCTION("""COMPUTED_VALUE"""),45857.56350704861)</f>
        <v>45857.56351</v>
      </c>
      <c r="B513" s="2" t="str">
        <f>IFERROR(__xludf.DUMMYFUNCTION("""COMPUTED_VALUE"""),"Post 20")</f>
        <v>Post 20</v>
      </c>
      <c r="C513" s="2" t="str">
        <f>IFERROR(__xludf.DUMMYFUNCTION("""COMPUTED_VALUE"""),"LAG 61")</f>
        <v>LAG 61</v>
      </c>
      <c r="D513" s="2">
        <f>IFERROR(__xludf.DUMMYFUNCTION("""COMPUTED_VALUE"""),30.0)</f>
        <v>30</v>
      </c>
      <c r="E513" s="2" t="str">
        <f>IFERROR(__xludf.DUMMYFUNCTION("""COMPUTED_VALUE"""),"Herrelag")</f>
        <v>Herrelag</v>
      </c>
    </row>
    <row r="514" ht="15.75" customHeight="1">
      <c r="A514" s="18">
        <f>IFERROR(__xludf.DUMMYFUNCTION("""COMPUTED_VALUE"""),45857.56362743056)</f>
        <v>45857.56363</v>
      </c>
      <c r="B514" s="2" t="str">
        <f>IFERROR(__xludf.DUMMYFUNCTION("""COMPUTED_VALUE"""),"Post 6")</f>
        <v>Post 6</v>
      </c>
      <c r="C514" s="2" t="str">
        <f>IFERROR(__xludf.DUMMYFUNCTION("""COMPUTED_VALUE"""),"LAG 7")</f>
        <v>LAG 7</v>
      </c>
      <c r="D514" s="2">
        <f>IFERROR(__xludf.DUMMYFUNCTION("""COMPUTED_VALUE"""),20.0)</f>
        <v>20</v>
      </c>
      <c r="E514" s="2" t="str">
        <f>IFERROR(__xludf.DUMMYFUNCTION("""COMPUTED_VALUE"""),"Mixlag")</f>
        <v>Mixlag</v>
      </c>
    </row>
    <row r="515" ht="15.75" customHeight="1">
      <c r="A515" s="18">
        <f>IFERROR(__xludf.DUMMYFUNCTION("""COMPUTED_VALUE"""),45857.56383655092)</f>
        <v>45857.56384</v>
      </c>
      <c r="B515" s="2" t="str">
        <f>IFERROR(__xludf.DUMMYFUNCTION("""COMPUTED_VALUE"""),"Post 20")</f>
        <v>Post 20</v>
      </c>
      <c r="C515" s="2" t="str">
        <f>IFERROR(__xludf.DUMMYFUNCTION("""COMPUTED_VALUE"""),"LAG 16")</f>
        <v>LAG 16</v>
      </c>
      <c r="D515" s="2">
        <f>IFERROR(__xludf.DUMMYFUNCTION("""COMPUTED_VALUE"""),20.0)</f>
        <v>20</v>
      </c>
      <c r="E515" s="2" t="str">
        <f>IFERROR(__xludf.DUMMYFUNCTION("""COMPUTED_VALUE"""),"Herrelag")</f>
        <v>Herrelag</v>
      </c>
    </row>
    <row r="516" ht="15.75" customHeight="1">
      <c r="A516" s="18">
        <f>IFERROR(__xludf.DUMMYFUNCTION("""COMPUTED_VALUE"""),45857.56396179398)</f>
        <v>45857.56396</v>
      </c>
      <c r="B516" s="2" t="str">
        <f>IFERROR(__xludf.DUMMYFUNCTION("""COMPUTED_VALUE"""),"Post 4")</f>
        <v>Post 4</v>
      </c>
      <c r="C516" s="2" t="str">
        <f>IFERROR(__xludf.DUMMYFUNCTION("""COMPUTED_VALUE"""),"LAG 54")</f>
        <v>LAG 54</v>
      </c>
      <c r="D516" s="2">
        <f>IFERROR(__xludf.DUMMYFUNCTION("""COMPUTED_VALUE"""),15.0)</f>
        <v>15</v>
      </c>
      <c r="E516" s="2" t="str">
        <f>IFERROR(__xludf.DUMMYFUNCTION("""COMPUTED_VALUE"""),"Damelag")</f>
        <v>Damelag</v>
      </c>
    </row>
    <row r="517" ht="15.75" customHeight="1">
      <c r="A517" s="18">
        <f>IFERROR(__xludf.DUMMYFUNCTION("""COMPUTED_VALUE"""),45857.564053078706)</f>
        <v>45857.56405</v>
      </c>
      <c r="B517" s="2" t="str">
        <f>IFERROR(__xludf.DUMMYFUNCTION("""COMPUTED_VALUE"""),"Post 8")</f>
        <v>Post 8</v>
      </c>
      <c r="C517" s="2" t="str">
        <f>IFERROR(__xludf.DUMMYFUNCTION("""COMPUTED_VALUE"""),"LAG 21")</f>
        <v>LAG 21</v>
      </c>
      <c r="D517" s="2">
        <f>IFERROR(__xludf.DUMMYFUNCTION("""COMPUTED_VALUE"""),12.0)</f>
        <v>12</v>
      </c>
      <c r="E517" s="2" t="str">
        <f>IFERROR(__xludf.DUMMYFUNCTION("""COMPUTED_VALUE"""),"Damelag")</f>
        <v>Damelag</v>
      </c>
    </row>
    <row r="518" ht="15.75" customHeight="1">
      <c r="A518" s="18">
        <f>IFERROR(__xludf.DUMMYFUNCTION("""COMPUTED_VALUE"""),45857.56408445602)</f>
        <v>45857.56408</v>
      </c>
      <c r="B518" s="2" t="str">
        <f>IFERROR(__xludf.DUMMYFUNCTION("""COMPUTED_VALUE"""),"Post 2")</f>
        <v>Post 2</v>
      </c>
      <c r="C518" s="2" t="str">
        <f>IFERROR(__xludf.DUMMYFUNCTION("""COMPUTED_VALUE"""),"LAG 32")</f>
        <v>LAG 32</v>
      </c>
      <c r="D518" s="2">
        <f>IFERROR(__xludf.DUMMYFUNCTION("""COMPUTED_VALUE"""),15.0)</f>
        <v>15</v>
      </c>
      <c r="E518" s="2" t="str">
        <f>IFERROR(__xludf.DUMMYFUNCTION("""COMPUTED_VALUE"""),"Damelag")</f>
        <v>Damelag</v>
      </c>
    </row>
    <row r="519" ht="15.75" customHeight="1">
      <c r="A519" s="18">
        <f>IFERROR(__xludf.DUMMYFUNCTION("""COMPUTED_VALUE"""),45857.564114849534)</f>
        <v>45857.56411</v>
      </c>
      <c r="B519" s="2" t="str">
        <f>IFERROR(__xludf.DUMMYFUNCTION("""COMPUTED_VALUE"""),"Post 3")</f>
        <v>Post 3</v>
      </c>
      <c r="C519" s="2" t="str">
        <f>IFERROR(__xludf.DUMMYFUNCTION("""COMPUTED_VALUE"""),"LAG 66")</f>
        <v>LAG 66</v>
      </c>
      <c r="D519" s="2">
        <f>IFERROR(__xludf.DUMMYFUNCTION("""COMPUTED_VALUE"""),17.0)</f>
        <v>17</v>
      </c>
      <c r="E519" s="2" t="str">
        <f>IFERROR(__xludf.DUMMYFUNCTION("""COMPUTED_VALUE"""),"Damelag")</f>
        <v>Damelag</v>
      </c>
    </row>
    <row r="520" ht="15.75" customHeight="1">
      <c r="A520" s="18">
        <f>IFERROR(__xludf.DUMMYFUNCTION("""COMPUTED_VALUE"""),45857.56448703704)</f>
        <v>45857.56449</v>
      </c>
      <c r="B520" s="2" t="str">
        <f>IFERROR(__xludf.DUMMYFUNCTION("""COMPUTED_VALUE"""),"Post 20")</f>
        <v>Post 20</v>
      </c>
      <c r="C520" s="2" t="str">
        <f>IFERROR(__xludf.DUMMYFUNCTION("""COMPUTED_VALUE"""),"LAG 65")</f>
        <v>LAG 65</v>
      </c>
      <c r="D520" s="2">
        <f>IFERROR(__xludf.DUMMYFUNCTION("""COMPUTED_VALUE"""),20.0)</f>
        <v>20</v>
      </c>
      <c r="E520" s="2" t="str">
        <f>IFERROR(__xludf.DUMMYFUNCTION("""COMPUTED_VALUE"""),"Mixlag")</f>
        <v>Mixlag</v>
      </c>
    </row>
    <row r="521" ht="15.75" customHeight="1">
      <c r="A521" s="18">
        <f>IFERROR(__xludf.DUMMYFUNCTION("""COMPUTED_VALUE"""),45857.56481270833)</f>
        <v>45857.56481</v>
      </c>
      <c r="B521" s="2" t="str">
        <f>IFERROR(__xludf.DUMMYFUNCTION("""COMPUTED_VALUE"""),"Post 18")</f>
        <v>Post 18</v>
      </c>
      <c r="C521" s="2" t="str">
        <f>IFERROR(__xludf.DUMMYFUNCTION("""COMPUTED_VALUE"""),"LAG 30")</f>
        <v>LAG 30</v>
      </c>
      <c r="D521" s="2">
        <f>IFERROR(__xludf.DUMMYFUNCTION("""COMPUTED_VALUE"""),10.0)</f>
        <v>10</v>
      </c>
      <c r="E521" s="2" t="str">
        <f>IFERROR(__xludf.DUMMYFUNCTION("""COMPUTED_VALUE"""),"Damelag")</f>
        <v>Damelag</v>
      </c>
    </row>
    <row r="522" ht="15.75" customHeight="1">
      <c r="A522" s="18">
        <f>IFERROR(__xludf.DUMMYFUNCTION("""COMPUTED_VALUE"""),45857.56483050926)</f>
        <v>45857.56483</v>
      </c>
      <c r="B522" s="2" t="str">
        <f>IFERROR(__xludf.DUMMYFUNCTION("""COMPUTED_VALUE"""),"Post 20")</f>
        <v>Post 20</v>
      </c>
      <c r="C522" s="2" t="str">
        <f>IFERROR(__xludf.DUMMYFUNCTION("""COMPUTED_VALUE"""),"LAG 66")</f>
        <v>LAG 66</v>
      </c>
      <c r="D522" s="2">
        <f>IFERROR(__xludf.DUMMYFUNCTION("""COMPUTED_VALUE"""),20.0)</f>
        <v>20</v>
      </c>
      <c r="E522" s="2" t="str">
        <f>IFERROR(__xludf.DUMMYFUNCTION("""COMPUTED_VALUE"""),"Damelag")</f>
        <v>Damelag</v>
      </c>
    </row>
    <row r="523" ht="15.75" customHeight="1">
      <c r="A523" s="18">
        <f>IFERROR(__xludf.DUMMYFUNCTION("""COMPUTED_VALUE"""),45857.56521564815)</f>
        <v>45857.56522</v>
      </c>
      <c r="B523" s="2" t="str">
        <f>IFERROR(__xludf.DUMMYFUNCTION("""COMPUTED_VALUE"""),"Post 4")</f>
        <v>Post 4</v>
      </c>
      <c r="C523" s="2" t="str">
        <f>IFERROR(__xludf.DUMMYFUNCTION("""COMPUTED_VALUE"""),"LAG 11")</f>
        <v>LAG 11</v>
      </c>
      <c r="D523" s="2">
        <f>IFERROR(__xludf.DUMMYFUNCTION("""COMPUTED_VALUE"""),15.0)</f>
        <v>15</v>
      </c>
      <c r="E523" s="2" t="str">
        <f>IFERROR(__xludf.DUMMYFUNCTION("""COMPUTED_VALUE"""),"Damelag")</f>
        <v>Damelag</v>
      </c>
    </row>
    <row r="524" ht="15.75" customHeight="1">
      <c r="A524" s="18">
        <f>IFERROR(__xludf.DUMMYFUNCTION("""COMPUTED_VALUE"""),45857.56543136574)</f>
        <v>45857.56543</v>
      </c>
      <c r="B524" s="2" t="str">
        <f>IFERROR(__xludf.DUMMYFUNCTION("""COMPUTED_VALUE"""),"Post 20")</f>
        <v>Post 20</v>
      </c>
      <c r="C524" s="2" t="str">
        <f>IFERROR(__xludf.DUMMYFUNCTION("""COMPUTED_VALUE"""),"LAG 3")</f>
        <v>LAG 3</v>
      </c>
      <c r="D524" s="2">
        <f>IFERROR(__xludf.DUMMYFUNCTION("""COMPUTED_VALUE"""),30.0)</f>
        <v>30</v>
      </c>
      <c r="E524" s="2" t="str">
        <f>IFERROR(__xludf.DUMMYFUNCTION("""COMPUTED_VALUE"""),"Damelag")</f>
        <v>Damelag</v>
      </c>
    </row>
    <row r="525" ht="15.75" customHeight="1">
      <c r="A525" s="18">
        <f>IFERROR(__xludf.DUMMYFUNCTION("""COMPUTED_VALUE"""),45857.565505011575)</f>
        <v>45857.56551</v>
      </c>
      <c r="B525" s="2" t="str">
        <f>IFERROR(__xludf.DUMMYFUNCTION("""COMPUTED_VALUE"""),"Post 5")</f>
        <v>Post 5</v>
      </c>
      <c r="C525" s="2" t="str">
        <f>IFERROR(__xludf.DUMMYFUNCTION("""COMPUTED_VALUE"""),"LAG 75")</f>
        <v>LAG 75</v>
      </c>
      <c r="D525" s="2">
        <f>IFERROR(__xludf.DUMMYFUNCTION("""COMPUTED_VALUE"""),10.0)</f>
        <v>10</v>
      </c>
      <c r="E525" s="2" t="str">
        <f>IFERROR(__xludf.DUMMYFUNCTION("""COMPUTED_VALUE"""),"Herrelag")</f>
        <v>Herrelag</v>
      </c>
    </row>
    <row r="526" ht="15.75" customHeight="1">
      <c r="A526" s="18">
        <f>IFERROR(__xludf.DUMMYFUNCTION("""COMPUTED_VALUE"""),45857.565587743054)</f>
        <v>45857.56559</v>
      </c>
      <c r="B526" s="2" t="str">
        <f>IFERROR(__xludf.DUMMYFUNCTION("""COMPUTED_VALUE"""),"Post 12")</f>
        <v>Post 12</v>
      </c>
      <c r="C526" s="2" t="str">
        <f>IFERROR(__xludf.DUMMYFUNCTION("""COMPUTED_VALUE"""),"LAG 80")</f>
        <v>LAG 80</v>
      </c>
      <c r="D526" s="2">
        <f>IFERROR(__xludf.DUMMYFUNCTION("""COMPUTED_VALUE"""),3.0)</f>
        <v>3</v>
      </c>
      <c r="E526" s="2" t="str">
        <f>IFERROR(__xludf.DUMMYFUNCTION("""COMPUTED_VALUE"""),"Herrelag")</f>
        <v>Herrelag</v>
      </c>
    </row>
    <row r="527" ht="15.75" customHeight="1">
      <c r="A527" s="18">
        <f>IFERROR(__xludf.DUMMYFUNCTION("""COMPUTED_VALUE"""),45857.56571008102)</f>
        <v>45857.56571</v>
      </c>
      <c r="B527" s="2" t="str">
        <f>IFERROR(__xludf.DUMMYFUNCTION("""COMPUTED_VALUE"""),"Post 10")</f>
        <v>Post 10</v>
      </c>
      <c r="C527" s="2" t="str">
        <f>IFERROR(__xludf.DUMMYFUNCTION("""COMPUTED_VALUE"""),"LAG 51")</f>
        <v>LAG 51</v>
      </c>
      <c r="D527" s="2">
        <f>IFERROR(__xludf.DUMMYFUNCTION("""COMPUTED_VALUE"""),15.0)</f>
        <v>15</v>
      </c>
      <c r="E527" s="2" t="str">
        <f>IFERROR(__xludf.DUMMYFUNCTION("""COMPUTED_VALUE"""),"Mixlag")</f>
        <v>Mixlag</v>
      </c>
    </row>
    <row r="528" ht="15.75" customHeight="1">
      <c r="A528" s="18">
        <f>IFERROR(__xludf.DUMMYFUNCTION("""COMPUTED_VALUE"""),45857.56586084491)</f>
        <v>45857.56586</v>
      </c>
      <c r="B528" s="2" t="str">
        <f>IFERROR(__xludf.DUMMYFUNCTION("""COMPUTED_VALUE"""),"Post 9")</f>
        <v>Post 9</v>
      </c>
      <c r="C528" s="2" t="str">
        <f>IFERROR(__xludf.DUMMYFUNCTION("""COMPUTED_VALUE"""),"LAG 53")</f>
        <v>LAG 53</v>
      </c>
      <c r="D528" s="2">
        <f>IFERROR(__xludf.DUMMYFUNCTION("""COMPUTED_VALUE"""),25.0)</f>
        <v>25</v>
      </c>
      <c r="E528" s="2" t="str">
        <f>IFERROR(__xludf.DUMMYFUNCTION("""COMPUTED_VALUE"""),"Damelag")</f>
        <v>Damelag</v>
      </c>
    </row>
    <row r="529" ht="15.75" customHeight="1">
      <c r="A529" s="18">
        <f>IFERROR(__xludf.DUMMYFUNCTION("""COMPUTED_VALUE"""),45857.56599260417)</f>
        <v>45857.56599</v>
      </c>
      <c r="B529" s="2" t="str">
        <f>IFERROR(__xludf.DUMMYFUNCTION("""COMPUTED_VALUE"""),"Post 3")</f>
        <v>Post 3</v>
      </c>
      <c r="C529" s="2" t="str">
        <f>IFERROR(__xludf.DUMMYFUNCTION("""COMPUTED_VALUE"""),"LAG 33")</f>
        <v>LAG 33</v>
      </c>
      <c r="D529" s="2">
        <f>IFERROR(__xludf.DUMMYFUNCTION("""COMPUTED_VALUE"""),14.0)</f>
        <v>14</v>
      </c>
      <c r="E529" s="2" t="str">
        <f>IFERROR(__xludf.DUMMYFUNCTION("""COMPUTED_VALUE"""),"Herrelag")</f>
        <v>Herrelag</v>
      </c>
    </row>
    <row r="530" ht="15.75" customHeight="1">
      <c r="A530" s="18">
        <f>IFERROR(__xludf.DUMMYFUNCTION("""COMPUTED_VALUE"""),45857.566145335644)</f>
        <v>45857.56615</v>
      </c>
      <c r="B530" s="2" t="str">
        <f>IFERROR(__xludf.DUMMYFUNCTION("""COMPUTED_VALUE"""),"Post 20")</f>
        <v>Post 20</v>
      </c>
      <c r="C530" s="2" t="str">
        <f>IFERROR(__xludf.DUMMYFUNCTION("""COMPUTED_VALUE"""),"LAG 71")</f>
        <v>LAG 71</v>
      </c>
      <c r="D530" s="2">
        <f>IFERROR(__xludf.DUMMYFUNCTION("""COMPUTED_VALUE"""),20.0)</f>
        <v>20</v>
      </c>
      <c r="E530" s="2" t="str">
        <f>IFERROR(__xludf.DUMMYFUNCTION("""COMPUTED_VALUE"""),"Mixlag")</f>
        <v>Mixlag</v>
      </c>
    </row>
    <row r="531" ht="15.75" customHeight="1">
      <c r="A531" s="18">
        <f>IFERROR(__xludf.DUMMYFUNCTION("""COMPUTED_VALUE"""),45857.566481851856)</f>
        <v>45857.56648</v>
      </c>
      <c r="B531" s="2" t="str">
        <f>IFERROR(__xludf.DUMMYFUNCTION("""COMPUTED_VALUE"""),"Post 6")</f>
        <v>Post 6</v>
      </c>
      <c r="C531" s="2" t="str">
        <f>IFERROR(__xludf.DUMMYFUNCTION("""COMPUTED_VALUE"""),"LAG 62")</f>
        <v>LAG 62</v>
      </c>
      <c r="D531" s="2">
        <f>IFERROR(__xludf.DUMMYFUNCTION("""COMPUTED_VALUE"""),16.0)</f>
        <v>16</v>
      </c>
      <c r="E531" s="2" t="str">
        <f>IFERROR(__xludf.DUMMYFUNCTION("""COMPUTED_VALUE"""),"Mixlag")</f>
        <v>Mixlag</v>
      </c>
    </row>
    <row r="532" ht="15.75" customHeight="1">
      <c r="A532" s="18">
        <f>IFERROR(__xludf.DUMMYFUNCTION("""COMPUTED_VALUE"""),45857.5666716088)</f>
        <v>45857.56667</v>
      </c>
      <c r="B532" s="2" t="str">
        <f>IFERROR(__xludf.DUMMYFUNCTION("""COMPUTED_VALUE"""),"Post 20")</f>
        <v>Post 20</v>
      </c>
      <c r="C532" s="2" t="str">
        <f>IFERROR(__xludf.DUMMYFUNCTION("""COMPUTED_VALUE"""),"LAG 73")</f>
        <v>LAG 73</v>
      </c>
      <c r="D532" s="2">
        <f>IFERROR(__xludf.DUMMYFUNCTION("""COMPUTED_VALUE"""),30.0)</f>
        <v>30</v>
      </c>
      <c r="E532" s="2" t="str">
        <f>IFERROR(__xludf.DUMMYFUNCTION("""COMPUTED_VALUE"""),"Mixlag")</f>
        <v>Mixlag</v>
      </c>
    </row>
    <row r="533" ht="15.75" customHeight="1">
      <c r="A533" s="18">
        <f>IFERROR(__xludf.DUMMYFUNCTION("""COMPUTED_VALUE"""),45857.566698333336)</f>
        <v>45857.5667</v>
      </c>
      <c r="B533" s="2" t="str">
        <f>IFERROR(__xludf.DUMMYFUNCTION("""COMPUTED_VALUE"""),"Post 15")</f>
        <v>Post 15</v>
      </c>
      <c r="C533" s="2" t="str">
        <f>IFERROR(__xludf.DUMMYFUNCTION("""COMPUTED_VALUE"""),"LAG 16")</f>
        <v>LAG 16</v>
      </c>
      <c r="D533" s="2">
        <f>IFERROR(__xludf.DUMMYFUNCTION("""COMPUTED_VALUE"""),20.0)</f>
        <v>20</v>
      </c>
      <c r="E533" s="2" t="str">
        <f>IFERROR(__xludf.DUMMYFUNCTION("""COMPUTED_VALUE"""),"Herrelag")</f>
        <v>Herrelag</v>
      </c>
    </row>
    <row r="534" ht="15.75" customHeight="1">
      <c r="A534" s="18">
        <f>IFERROR(__xludf.DUMMYFUNCTION("""COMPUTED_VALUE"""),45857.566710625004)</f>
        <v>45857.56671</v>
      </c>
      <c r="B534" s="2" t="str">
        <f>IFERROR(__xludf.DUMMYFUNCTION("""COMPUTED_VALUE"""),"Post 1")</f>
        <v>Post 1</v>
      </c>
      <c r="C534" s="2" t="str">
        <f>IFERROR(__xludf.DUMMYFUNCTION("""COMPUTED_VALUE"""),"LAG 44")</f>
        <v>LAG 44</v>
      </c>
      <c r="D534" s="2">
        <f>IFERROR(__xludf.DUMMYFUNCTION("""COMPUTED_VALUE"""),12.0)</f>
        <v>12</v>
      </c>
      <c r="E534" s="2" t="str">
        <f>IFERROR(__xludf.DUMMYFUNCTION("""COMPUTED_VALUE"""),"Damelag")</f>
        <v>Damelag</v>
      </c>
    </row>
    <row r="535" ht="15.75" customHeight="1">
      <c r="A535" s="18">
        <f>IFERROR(__xludf.DUMMYFUNCTION("""COMPUTED_VALUE"""),45857.56692182871)</f>
        <v>45857.56692</v>
      </c>
      <c r="B535" s="2" t="str">
        <f>IFERROR(__xludf.DUMMYFUNCTION("""COMPUTED_VALUE"""),"Post 20")</f>
        <v>Post 20</v>
      </c>
      <c r="C535" s="2" t="str">
        <f>IFERROR(__xludf.DUMMYFUNCTION("""COMPUTED_VALUE"""),"LAG 74")</f>
        <v>LAG 74</v>
      </c>
      <c r="D535" s="2">
        <f>IFERROR(__xludf.DUMMYFUNCTION("""COMPUTED_VALUE"""),20.0)</f>
        <v>20</v>
      </c>
      <c r="E535" s="2" t="str">
        <f>IFERROR(__xludf.DUMMYFUNCTION("""COMPUTED_VALUE"""),"Damelag")</f>
        <v>Damelag</v>
      </c>
    </row>
    <row r="536" ht="15.75" customHeight="1">
      <c r="A536" s="18">
        <f>IFERROR(__xludf.DUMMYFUNCTION("""COMPUTED_VALUE"""),45857.56693901621)</f>
        <v>45857.56694</v>
      </c>
      <c r="B536" s="2" t="str">
        <f>IFERROR(__xludf.DUMMYFUNCTION("""COMPUTED_VALUE"""),"Post 8")</f>
        <v>Post 8</v>
      </c>
      <c r="C536" s="2" t="str">
        <f>IFERROR(__xludf.DUMMYFUNCTION("""COMPUTED_VALUE"""),"LAG 55")</f>
        <v>LAG 55</v>
      </c>
      <c r="D536" s="2">
        <f>IFERROR(__xludf.DUMMYFUNCTION("""COMPUTED_VALUE"""),14.0)</f>
        <v>14</v>
      </c>
      <c r="E536" s="2" t="str">
        <f>IFERROR(__xludf.DUMMYFUNCTION("""COMPUTED_VALUE"""),"Damelag")</f>
        <v>Damelag</v>
      </c>
    </row>
    <row r="537" ht="15.75" customHeight="1">
      <c r="A537" s="18">
        <f>IFERROR(__xludf.DUMMYFUNCTION("""COMPUTED_VALUE"""),45857.566975775466)</f>
        <v>45857.56698</v>
      </c>
      <c r="B537" s="2" t="str">
        <f>IFERROR(__xludf.DUMMYFUNCTION("""COMPUTED_VALUE"""),"Post 12")</f>
        <v>Post 12</v>
      </c>
      <c r="C537" s="2" t="str">
        <f>IFERROR(__xludf.DUMMYFUNCTION("""COMPUTED_VALUE"""),"LAG 49")</f>
        <v>LAG 49</v>
      </c>
      <c r="D537" s="2">
        <f>IFERROR(__xludf.DUMMYFUNCTION("""COMPUTED_VALUE"""),15.0)</f>
        <v>15</v>
      </c>
      <c r="E537" s="2" t="str">
        <f>IFERROR(__xludf.DUMMYFUNCTION("""COMPUTED_VALUE"""),"Damelag")</f>
        <v>Damelag</v>
      </c>
    </row>
    <row r="538" ht="15.75" customHeight="1">
      <c r="A538" s="18">
        <f>IFERROR(__xludf.DUMMYFUNCTION("""COMPUTED_VALUE"""),45857.56724107639)</f>
        <v>45857.56724</v>
      </c>
      <c r="B538" s="2" t="str">
        <f>IFERROR(__xludf.DUMMYFUNCTION("""COMPUTED_VALUE"""),"Post 20")</f>
        <v>Post 20</v>
      </c>
      <c r="C538" s="2" t="str">
        <f>IFERROR(__xludf.DUMMYFUNCTION("""COMPUTED_VALUE"""),"LAG 77")</f>
        <v>LAG 77</v>
      </c>
      <c r="D538" s="2">
        <f>IFERROR(__xludf.DUMMYFUNCTION("""COMPUTED_VALUE"""),30.0)</f>
        <v>30</v>
      </c>
      <c r="E538" s="2" t="str">
        <f>IFERROR(__xludf.DUMMYFUNCTION("""COMPUTED_VALUE"""),"Mixlag")</f>
        <v>Mixlag</v>
      </c>
    </row>
    <row r="539" ht="15.75" customHeight="1">
      <c r="A539" s="18">
        <f>IFERROR(__xludf.DUMMYFUNCTION("""COMPUTED_VALUE"""),45857.56754981482)</f>
        <v>45857.56755</v>
      </c>
      <c r="B539" s="2" t="str">
        <f>IFERROR(__xludf.DUMMYFUNCTION("""COMPUTED_VALUE"""),"Post 4")</f>
        <v>Post 4</v>
      </c>
      <c r="C539" s="2" t="str">
        <f>IFERROR(__xludf.DUMMYFUNCTION("""COMPUTED_VALUE"""),"LAG 73")</f>
        <v>LAG 73</v>
      </c>
      <c r="D539" s="2">
        <f>IFERROR(__xludf.DUMMYFUNCTION("""COMPUTED_VALUE"""),15.0)</f>
        <v>15</v>
      </c>
      <c r="E539" s="2" t="str">
        <f>IFERROR(__xludf.DUMMYFUNCTION("""COMPUTED_VALUE"""),"Mixlag")</f>
        <v>Mixlag</v>
      </c>
    </row>
    <row r="540" ht="15.75" customHeight="1">
      <c r="A540" s="18">
        <f>IFERROR(__xludf.DUMMYFUNCTION("""COMPUTED_VALUE"""),45857.56757047454)</f>
        <v>45857.56757</v>
      </c>
      <c r="B540" s="2" t="str">
        <f>IFERROR(__xludf.DUMMYFUNCTION("""COMPUTED_VALUE"""),"Post 1")</f>
        <v>Post 1</v>
      </c>
      <c r="C540" s="2" t="str">
        <f>IFERROR(__xludf.DUMMYFUNCTION("""COMPUTED_VALUE"""),"LAG 32")</f>
        <v>LAG 32</v>
      </c>
      <c r="D540" s="2">
        <f>IFERROR(__xludf.DUMMYFUNCTION("""COMPUTED_VALUE"""),0.0)</f>
        <v>0</v>
      </c>
      <c r="E540" s="2" t="str">
        <f>IFERROR(__xludf.DUMMYFUNCTION("""COMPUTED_VALUE"""),"Damelag")</f>
        <v>Damelag</v>
      </c>
    </row>
    <row r="541" ht="15.75" customHeight="1">
      <c r="A541" s="18">
        <f>IFERROR(__xludf.DUMMYFUNCTION("""COMPUTED_VALUE"""),45857.56803743055)</f>
        <v>45857.56804</v>
      </c>
      <c r="B541" s="2" t="str">
        <f>IFERROR(__xludf.DUMMYFUNCTION("""COMPUTED_VALUE"""),"Post 10")</f>
        <v>Post 10</v>
      </c>
      <c r="C541" s="2" t="str">
        <f>IFERROR(__xludf.DUMMYFUNCTION("""COMPUTED_VALUE"""),"LAG 84")</f>
        <v>LAG 84</v>
      </c>
      <c r="D541" s="2">
        <f>IFERROR(__xludf.DUMMYFUNCTION("""COMPUTED_VALUE"""),13.0)</f>
        <v>13</v>
      </c>
      <c r="E541" s="2" t="str">
        <f>IFERROR(__xludf.DUMMYFUNCTION("""COMPUTED_VALUE"""),"Herrelag")</f>
        <v>Herrelag</v>
      </c>
    </row>
    <row r="542" ht="15.75" customHeight="1">
      <c r="A542" s="18">
        <f>IFERROR(__xludf.DUMMYFUNCTION("""COMPUTED_VALUE"""),45857.5680793287)</f>
        <v>45857.56808</v>
      </c>
      <c r="B542" s="2" t="str">
        <f>IFERROR(__xludf.DUMMYFUNCTION("""COMPUTED_VALUE"""),"Post 13")</f>
        <v>Post 13</v>
      </c>
      <c r="C542" s="2" t="str">
        <f>IFERROR(__xludf.DUMMYFUNCTION("""COMPUTED_VALUE"""),"LAG 39")</f>
        <v>LAG 39</v>
      </c>
      <c r="D542" s="2">
        <f>IFERROR(__xludf.DUMMYFUNCTION("""COMPUTED_VALUE"""),20.0)</f>
        <v>20</v>
      </c>
      <c r="E542" s="2" t="str">
        <f>IFERROR(__xludf.DUMMYFUNCTION("""COMPUTED_VALUE"""),"Herrelag")</f>
        <v>Herrelag</v>
      </c>
    </row>
    <row r="543" ht="15.75" customHeight="1">
      <c r="A543" s="18">
        <f>IFERROR(__xludf.DUMMYFUNCTION("""COMPUTED_VALUE"""),45857.568128495375)</f>
        <v>45857.56813</v>
      </c>
      <c r="B543" s="2" t="str">
        <f>IFERROR(__xludf.DUMMYFUNCTION("""COMPUTED_VALUE"""),"Post 6")</f>
        <v>Post 6</v>
      </c>
      <c r="C543" s="2" t="str">
        <f>IFERROR(__xludf.DUMMYFUNCTION("""COMPUTED_VALUE"""),"LAG 56")</f>
        <v>LAG 56</v>
      </c>
      <c r="D543" s="2">
        <f>IFERROR(__xludf.DUMMYFUNCTION("""COMPUTED_VALUE"""),12.0)</f>
        <v>12</v>
      </c>
      <c r="E543" s="2" t="str">
        <f>IFERROR(__xludf.DUMMYFUNCTION("""COMPUTED_VALUE"""),"Mixlag")</f>
        <v>Mixlag</v>
      </c>
    </row>
    <row r="544" ht="15.75" customHeight="1">
      <c r="A544" s="18">
        <f>IFERROR(__xludf.DUMMYFUNCTION("""COMPUTED_VALUE"""),45857.56813996528)</f>
        <v>45857.56814</v>
      </c>
      <c r="B544" s="2" t="str">
        <f>IFERROR(__xludf.DUMMYFUNCTION("""COMPUTED_VALUE"""),"Post 3")</f>
        <v>Post 3</v>
      </c>
      <c r="C544" s="2" t="str">
        <f>IFERROR(__xludf.DUMMYFUNCTION("""COMPUTED_VALUE"""),"LAG 2")</f>
        <v>LAG 2</v>
      </c>
      <c r="D544" s="2">
        <f>IFERROR(__xludf.DUMMYFUNCTION("""COMPUTED_VALUE"""),16.0)</f>
        <v>16</v>
      </c>
      <c r="E544" s="2" t="str">
        <f>IFERROR(__xludf.DUMMYFUNCTION("""COMPUTED_VALUE"""),"Damelag")</f>
        <v>Damelag</v>
      </c>
    </row>
    <row r="545" ht="15.75" customHeight="1">
      <c r="A545" s="18">
        <f>IFERROR(__xludf.DUMMYFUNCTION("""COMPUTED_VALUE"""),45857.56821820602)</f>
        <v>45857.56822</v>
      </c>
      <c r="B545" s="2" t="str">
        <f>IFERROR(__xludf.DUMMYFUNCTION("""COMPUTED_VALUE"""),"Post 1")</f>
        <v>Post 1</v>
      </c>
      <c r="C545" s="2" t="str">
        <f>IFERROR(__xludf.DUMMYFUNCTION("""COMPUTED_VALUE"""),"LAG 4")</f>
        <v>LAG 4</v>
      </c>
      <c r="D545" s="2">
        <f>IFERROR(__xludf.DUMMYFUNCTION("""COMPUTED_VALUE"""),12.0)</f>
        <v>12</v>
      </c>
      <c r="E545" s="2" t="str">
        <f>IFERROR(__xludf.DUMMYFUNCTION("""COMPUTED_VALUE"""),"Herrelag")</f>
        <v>Herrelag</v>
      </c>
    </row>
    <row r="546" ht="15.75" customHeight="1">
      <c r="A546" s="18">
        <f>IFERROR(__xludf.DUMMYFUNCTION("""COMPUTED_VALUE"""),45857.568317708334)</f>
        <v>45857.56832</v>
      </c>
      <c r="B546" s="2" t="str">
        <f>IFERROR(__xludf.DUMMYFUNCTION("""COMPUTED_VALUE"""),"Post 13")</f>
        <v>Post 13</v>
      </c>
      <c r="C546" s="2" t="str">
        <f>IFERROR(__xludf.DUMMYFUNCTION("""COMPUTED_VALUE"""),"LAG 61")</f>
        <v>LAG 61</v>
      </c>
      <c r="D546" s="2">
        <f>IFERROR(__xludf.DUMMYFUNCTION("""COMPUTED_VALUE"""),30.0)</f>
        <v>30</v>
      </c>
      <c r="E546" s="2" t="str">
        <f>IFERROR(__xludf.DUMMYFUNCTION("""COMPUTED_VALUE"""),"Herrelag")</f>
        <v>Herrelag</v>
      </c>
    </row>
    <row r="547" ht="15.75" customHeight="1">
      <c r="A547" s="18">
        <f>IFERROR(__xludf.DUMMYFUNCTION("""COMPUTED_VALUE"""),45857.568442083335)</f>
        <v>45857.56844</v>
      </c>
      <c r="B547" s="2" t="str">
        <f>IFERROR(__xludf.DUMMYFUNCTION("""COMPUTED_VALUE"""),"Post 20")</f>
        <v>Post 20</v>
      </c>
      <c r="C547" s="2" t="str">
        <f>IFERROR(__xludf.DUMMYFUNCTION("""COMPUTED_VALUE"""),"LAG 69")</f>
        <v>LAG 69</v>
      </c>
      <c r="D547" s="2">
        <f>IFERROR(__xludf.DUMMYFUNCTION("""COMPUTED_VALUE"""),20.0)</f>
        <v>20</v>
      </c>
      <c r="E547" s="2" t="str">
        <f>IFERROR(__xludf.DUMMYFUNCTION("""COMPUTED_VALUE"""),"Herrelag")</f>
        <v>Herrelag</v>
      </c>
    </row>
    <row r="548" ht="15.75" customHeight="1">
      <c r="A548" s="18">
        <f>IFERROR(__xludf.DUMMYFUNCTION("""COMPUTED_VALUE"""),45857.56859097222)</f>
        <v>45857.56859</v>
      </c>
      <c r="B548" s="2" t="str">
        <f>IFERROR(__xludf.DUMMYFUNCTION("""COMPUTED_VALUE"""),"Post 2")</f>
        <v>Post 2</v>
      </c>
      <c r="C548" s="2" t="str">
        <f>IFERROR(__xludf.DUMMYFUNCTION("""COMPUTED_VALUE"""),"LAG 76")</f>
        <v>LAG 76</v>
      </c>
      <c r="D548" s="2">
        <f>IFERROR(__xludf.DUMMYFUNCTION("""COMPUTED_VALUE"""),15.0)</f>
        <v>15</v>
      </c>
      <c r="E548" s="2" t="str">
        <f>IFERROR(__xludf.DUMMYFUNCTION("""COMPUTED_VALUE"""),"Mixlag")</f>
        <v>Mixlag</v>
      </c>
    </row>
    <row r="549" ht="15.75" customHeight="1">
      <c r="A549" s="18">
        <f>IFERROR(__xludf.DUMMYFUNCTION("""COMPUTED_VALUE"""),45857.568605671295)</f>
        <v>45857.56861</v>
      </c>
      <c r="B549" s="2" t="str">
        <f>IFERROR(__xludf.DUMMYFUNCTION("""COMPUTED_VALUE"""),"Post 8")</f>
        <v>Post 8</v>
      </c>
      <c r="C549" s="2" t="str">
        <f>IFERROR(__xludf.DUMMYFUNCTION("""COMPUTED_VALUE"""),"LAG 31")</f>
        <v>LAG 31</v>
      </c>
      <c r="D549" s="2">
        <f>IFERROR(__xludf.DUMMYFUNCTION("""COMPUTED_VALUE"""),6.0)</f>
        <v>6</v>
      </c>
      <c r="E549" s="2" t="str">
        <f>IFERROR(__xludf.DUMMYFUNCTION("""COMPUTED_VALUE"""),"Mixlag")</f>
        <v>Mixlag</v>
      </c>
    </row>
    <row r="550" ht="15.75" customHeight="1">
      <c r="A550" s="18">
        <f>IFERROR(__xludf.DUMMYFUNCTION("""COMPUTED_VALUE"""),45857.56873653935)</f>
        <v>45857.56874</v>
      </c>
      <c r="B550" s="2" t="str">
        <f>IFERROR(__xludf.DUMMYFUNCTION("""COMPUTED_VALUE"""),"Post 20")</f>
        <v>Post 20</v>
      </c>
      <c r="C550" s="2" t="str">
        <f>IFERROR(__xludf.DUMMYFUNCTION("""COMPUTED_VALUE"""),"LAG 69")</f>
        <v>LAG 69</v>
      </c>
      <c r="D550" s="2">
        <f>IFERROR(__xludf.DUMMYFUNCTION("""COMPUTED_VALUE"""),20.0)</f>
        <v>20</v>
      </c>
      <c r="E550" s="2" t="str">
        <f>IFERROR(__xludf.DUMMYFUNCTION("""COMPUTED_VALUE"""),"Herrelag")</f>
        <v>Herrelag</v>
      </c>
    </row>
    <row r="551" ht="15.75" customHeight="1">
      <c r="A551" s="18">
        <f>IFERROR(__xludf.DUMMYFUNCTION("""COMPUTED_VALUE"""),45857.568937488424)</f>
        <v>45857.56894</v>
      </c>
      <c r="B551" s="2" t="str">
        <f>IFERROR(__xludf.DUMMYFUNCTION("""COMPUTED_VALUE"""),"Post 15")</f>
        <v>Post 15</v>
      </c>
      <c r="C551" s="2" t="str">
        <f>IFERROR(__xludf.DUMMYFUNCTION("""COMPUTED_VALUE"""),"LAG 36")</f>
        <v>LAG 36</v>
      </c>
      <c r="D551" s="2">
        <f>IFERROR(__xludf.DUMMYFUNCTION("""COMPUTED_VALUE"""),20.0)</f>
        <v>20</v>
      </c>
      <c r="E551" s="2" t="str">
        <f>IFERROR(__xludf.DUMMYFUNCTION("""COMPUTED_VALUE"""),"Herrelag")</f>
        <v>Herrelag</v>
      </c>
    </row>
    <row r="552" ht="15.75" customHeight="1">
      <c r="A552" s="18">
        <f>IFERROR(__xludf.DUMMYFUNCTION("""COMPUTED_VALUE"""),45857.5689625463)</f>
        <v>45857.56896</v>
      </c>
      <c r="B552" s="2" t="str">
        <f>IFERROR(__xludf.DUMMYFUNCTION("""COMPUTED_VALUE"""),"Post 1")</f>
        <v>Post 1</v>
      </c>
      <c r="C552" s="2" t="str">
        <f>IFERROR(__xludf.DUMMYFUNCTION("""COMPUTED_VALUE"""),"LAG 26")</f>
        <v>LAG 26</v>
      </c>
      <c r="D552" s="2">
        <f>IFERROR(__xludf.DUMMYFUNCTION("""COMPUTED_VALUE"""),14.0)</f>
        <v>14</v>
      </c>
      <c r="E552" s="2" t="str">
        <f>IFERROR(__xludf.DUMMYFUNCTION("""COMPUTED_VALUE"""),"Damelag")</f>
        <v>Damelag</v>
      </c>
    </row>
    <row r="553" ht="15.75" customHeight="1">
      <c r="A553" s="18">
        <f>IFERROR(__xludf.DUMMYFUNCTION("""COMPUTED_VALUE"""),45857.56906177083)</f>
        <v>45857.56906</v>
      </c>
      <c r="B553" s="2" t="str">
        <f>IFERROR(__xludf.DUMMYFUNCTION("""COMPUTED_VALUE"""),"Post 20")</f>
        <v>Post 20</v>
      </c>
      <c r="C553" s="2" t="str">
        <f>IFERROR(__xludf.DUMMYFUNCTION("""COMPUTED_VALUE"""),"LAG 82")</f>
        <v>LAG 82</v>
      </c>
      <c r="D553" s="2">
        <f>IFERROR(__xludf.DUMMYFUNCTION("""COMPUTED_VALUE"""),20.0)</f>
        <v>20</v>
      </c>
      <c r="E553" s="2" t="str">
        <f>IFERROR(__xludf.DUMMYFUNCTION("""COMPUTED_VALUE"""),"Mixlag")</f>
        <v>Mixlag</v>
      </c>
    </row>
    <row r="554" ht="15.75" customHeight="1">
      <c r="A554" s="18">
        <f>IFERROR(__xludf.DUMMYFUNCTION("""COMPUTED_VALUE"""),45857.56913927083)</f>
        <v>45857.56914</v>
      </c>
      <c r="B554" s="2" t="str">
        <f>IFERROR(__xludf.DUMMYFUNCTION("""COMPUTED_VALUE"""),"Post 18")</f>
        <v>Post 18</v>
      </c>
      <c r="C554" s="2" t="str">
        <f>IFERROR(__xludf.DUMMYFUNCTION("""COMPUTED_VALUE"""),"LAG 51")</f>
        <v>LAG 51</v>
      </c>
      <c r="D554" s="2">
        <f>IFERROR(__xludf.DUMMYFUNCTION("""COMPUTED_VALUE"""),10.0)</f>
        <v>10</v>
      </c>
      <c r="E554" s="2" t="str">
        <f>IFERROR(__xludf.DUMMYFUNCTION("""COMPUTED_VALUE"""),"Mixlag")</f>
        <v>Mixlag</v>
      </c>
    </row>
    <row r="555" ht="15.75" customHeight="1">
      <c r="A555" s="18">
        <f>IFERROR(__xludf.DUMMYFUNCTION("""COMPUTED_VALUE"""),45857.56928951389)</f>
        <v>45857.56929</v>
      </c>
      <c r="B555" s="2" t="str">
        <f>IFERROR(__xludf.DUMMYFUNCTION("""COMPUTED_VALUE"""),"Post 4")</f>
        <v>Post 4</v>
      </c>
      <c r="C555" s="2" t="str">
        <f>IFERROR(__xludf.DUMMYFUNCTION("""COMPUTED_VALUE"""),"LAG 75")</f>
        <v>LAG 75</v>
      </c>
      <c r="D555" s="2">
        <f>IFERROR(__xludf.DUMMYFUNCTION("""COMPUTED_VALUE"""),15.0)</f>
        <v>15</v>
      </c>
      <c r="E555" s="2" t="str">
        <f>IFERROR(__xludf.DUMMYFUNCTION("""COMPUTED_VALUE"""),"Herrelag")</f>
        <v>Herrelag</v>
      </c>
    </row>
    <row r="556" ht="15.75" customHeight="1">
      <c r="A556" s="18">
        <f>IFERROR(__xludf.DUMMYFUNCTION("""COMPUTED_VALUE"""),45857.569374212966)</f>
        <v>45857.56937</v>
      </c>
      <c r="B556" s="2" t="str">
        <f>IFERROR(__xludf.DUMMYFUNCTION("""COMPUTED_VALUE"""),"Post 18")</f>
        <v>Post 18</v>
      </c>
      <c r="C556" s="2" t="str">
        <f>IFERROR(__xludf.DUMMYFUNCTION("""COMPUTED_VALUE"""),"LAG 64")</f>
        <v>LAG 64</v>
      </c>
      <c r="D556" s="2">
        <f>IFERROR(__xludf.DUMMYFUNCTION("""COMPUTED_VALUE"""),9.0)</f>
        <v>9</v>
      </c>
      <c r="E556" s="2" t="str">
        <f>IFERROR(__xludf.DUMMYFUNCTION("""COMPUTED_VALUE"""),"Damelag")</f>
        <v>Damelag</v>
      </c>
    </row>
    <row r="557" ht="15.75" customHeight="1">
      <c r="A557" s="18">
        <f>IFERROR(__xludf.DUMMYFUNCTION("""COMPUTED_VALUE"""),45857.56970634259)</f>
        <v>45857.56971</v>
      </c>
      <c r="B557" s="2" t="str">
        <f>IFERROR(__xludf.DUMMYFUNCTION("""COMPUTED_VALUE"""),"Post 1")</f>
        <v>Post 1</v>
      </c>
      <c r="C557" s="2" t="str">
        <f>IFERROR(__xludf.DUMMYFUNCTION("""COMPUTED_VALUE"""),"LAG 33")</f>
        <v>LAG 33</v>
      </c>
      <c r="D557" s="2">
        <f>IFERROR(__xludf.DUMMYFUNCTION("""COMPUTED_VALUE"""),16.0)</f>
        <v>16</v>
      </c>
      <c r="E557" s="2" t="str">
        <f>IFERROR(__xludf.DUMMYFUNCTION("""COMPUTED_VALUE"""),"Herrelag")</f>
        <v>Herrelag</v>
      </c>
    </row>
    <row r="558" ht="15.75" customHeight="1">
      <c r="A558" s="18">
        <f>IFERROR(__xludf.DUMMYFUNCTION("""COMPUTED_VALUE"""),45857.569987650466)</f>
        <v>45857.56999</v>
      </c>
      <c r="B558" s="2" t="str">
        <f>IFERROR(__xludf.DUMMYFUNCTION("""COMPUTED_VALUE"""),"Post 8")</f>
        <v>Post 8</v>
      </c>
      <c r="C558" s="2" t="str">
        <f>IFERROR(__xludf.DUMMYFUNCTION("""COMPUTED_VALUE"""),"LAG 46")</f>
        <v>LAG 46</v>
      </c>
      <c r="D558" s="2">
        <f>IFERROR(__xludf.DUMMYFUNCTION("""COMPUTED_VALUE"""),9.0)</f>
        <v>9</v>
      </c>
      <c r="E558" s="2" t="str">
        <f>IFERROR(__xludf.DUMMYFUNCTION("""COMPUTED_VALUE"""),"Mixlag")</f>
        <v>Mixlag</v>
      </c>
    </row>
    <row r="559" ht="15.75" customHeight="1">
      <c r="A559" s="18">
        <f>IFERROR(__xludf.DUMMYFUNCTION("""COMPUTED_VALUE"""),45857.57002347222)</f>
        <v>45857.57002</v>
      </c>
      <c r="B559" s="2" t="str">
        <f>IFERROR(__xludf.DUMMYFUNCTION("""COMPUTED_VALUE"""),"Post 12")</f>
        <v>Post 12</v>
      </c>
      <c r="C559" s="2" t="str">
        <f>IFERROR(__xludf.DUMMYFUNCTION("""COMPUTED_VALUE"""),"LAG 77")</f>
        <v>LAG 77</v>
      </c>
      <c r="D559" s="2">
        <f>IFERROR(__xludf.DUMMYFUNCTION("""COMPUTED_VALUE"""),5.0)</f>
        <v>5</v>
      </c>
      <c r="E559" s="2" t="str">
        <f>IFERROR(__xludf.DUMMYFUNCTION("""COMPUTED_VALUE"""),"Mixlag")</f>
        <v>Mixlag</v>
      </c>
    </row>
    <row r="560" ht="15.75" customHeight="1">
      <c r="A560" s="18">
        <f>IFERROR(__xludf.DUMMYFUNCTION("""COMPUTED_VALUE"""),45857.570025451394)</f>
        <v>45857.57003</v>
      </c>
      <c r="B560" s="2" t="str">
        <f>IFERROR(__xludf.DUMMYFUNCTION("""COMPUTED_VALUE"""),"Post 2")</f>
        <v>Post 2</v>
      </c>
      <c r="C560" s="2" t="str">
        <f>IFERROR(__xludf.DUMMYFUNCTION("""COMPUTED_VALUE"""),"LAG 23")</f>
        <v>LAG 23</v>
      </c>
      <c r="D560" s="2">
        <f>IFERROR(__xludf.DUMMYFUNCTION("""COMPUTED_VALUE"""),15.0)</f>
        <v>15</v>
      </c>
      <c r="E560" s="2" t="str">
        <f>IFERROR(__xludf.DUMMYFUNCTION("""COMPUTED_VALUE"""),"Damelag")</f>
        <v>Damelag</v>
      </c>
    </row>
    <row r="561" ht="15.75" customHeight="1">
      <c r="A561" s="18">
        <f>IFERROR(__xludf.DUMMYFUNCTION("""COMPUTED_VALUE"""),45857.570056331024)</f>
        <v>45857.57006</v>
      </c>
      <c r="B561" s="2" t="str">
        <f>IFERROR(__xludf.DUMMYFUNCTION("""COMPUTED_VALUE"""),"Post 5")</f>
        <v>Post 5</v>
      </c>
      <c r="C561" s="2" t="str">
        <f>IFERROR(__xludf.DUMMYFUNCTION("""COMPUTED_VALUE"""),"LAG 80")</f>
        <v>LAG 80</v>
      </c>
      <c r="D561" s="2">
        <f>IFERROR(__xludf.DUMMYFUNCTION("""COMPUTED_VALUE"""),10.0)</f>
        <v>10</v>
      </c>
      <c r="E561" s="2" t="str">
        <f>IFERROR(__xludf.DUMMYFUNCTION("""COMPUTED_VALUE"""),"Herrelag")</f>
        <v>Herrelag</v>
      </c>
    </row>
    <row r="562" ht="15.75" customHeight="1">
      <c r="A562" s="18">
        <f>IFERROR(__xludf.DUMMYFUNCTION("""COMPUTED_VALUE"""),45857.57012471065)</f>
        <v>45857.57012</v>
      </c>
      <c r="B562" s="2" t="str">
        <f>IFERROR(__xludf.DUMMYFUNCTION("""COMPUTED_VALUE"""),"Post 3")</f>
        <v>Post 3</v>
      </c>
      <c r="C562" s="2" t="str">
        <f>IFERROR(__xludf.DUMMYFUNCTION("""COMPUTED_VALUE"""),"LAG 41")</f>
        <v>LAG 41</v>
      </c>
      <c r="D562" s="2">
        <f>IFERROR(__xludf.DUMMYFUNCTION("""COMPUTED_VALUE"""),12.0)</f>
        <v>12</v>
      </c>
      <c r="E562" s="2" t="str">
        <f>IFERROR(__xludf.DUMMYFUNCTION("""COMPUTED_VALUE"""),"Mixlag")</f>
        <v>Mixlag</v>
      </c>
    </row>
    <row r="563" ht="15.75" customHeight="1">
      <c r="A563" s="18">
        <f>IFERROR(__xludf.DUMMYFUNCTION("""COMPUTED_VALUE"""),45857.57019546296)</f>
        <v>45857.5702</v>
      </c>
      <c r="B563" s="2" t="str">
        <f>IFERROR(__xludf.DUMMYFUNCTION("""COMPUTED_VALUE"""),"Post 12")</f>
        <v>Post 12</v>
      </c>
      <c r="C563" s="2" t="str">
        <f>IFERROR(__xludf.DUMMYFUNCTION("""COMPUTED_VALUE"""),"LAG 30")</f>
        <v>LAG 30</v>
      </c>
      <c r="D563" s="2">
        <f>IFERROR(__xludf.DUMMYFUNCTION("""COMPUTED_VALUE"""),11.0)</f>
        <v>11</v>
      </c>
      <c r="E563" s="2" t="str">
        <f>IFERROR(__xludf.DUMMYFUNCTION("""COMPUTED_VALUE"""),"Damelag")</f>
        <v>Damelag</v>
      </c>
    </row>
    <row r="564" ht="15.75" customHeight="1">
      <c r="A564" s="18">
        <f>IFERROR(__xludf.DUMMYFUNCTION("""COMPUTED_VALUE"""),45857.57048871528)</f>
        <v>45857.57049</v>
      </c>
      <c r="B564" s="2" t="str">
        <f>IFERROR(__xludf.DUMMYFUNCTION("""COMPUTED_VALUE"""),"Post 5")</f>
        <v>Post 5</v>
      </c>
      <c r="C564" s="2" t="str">
        <f>IFERROR(__xludf.DUMMYFUNCTION("""COMPUTED_VALUE"""),"LAG 7")</f>
        <v>LAG 7</v>
      </c>
      <c r="D564" s="2">
        <f>IFERROR(__xludf.DUMMYFUNCTION("""COMPUTED_VALUE"""),10.0)</f>
        <v>10</v>
      </c>
      <c r="E564" s="2" t="str">
        <f>IFERROR(__xludf.DUMMYFUNCTION("""COMPUTED_VALUE"""),"Mixlag")</f>
        <v>Mixlag</v>
      </c>
    </row>
    <row r="565" ht="15.75" customHeight="1">
      <c r="A565" s="18">
        <f>IFERROR(__xludf.DUMMYFUNCTION("""COMPUTED_VALUE"""),45857.57068412037)</f>
        <v>45857.57068</v>
      </c>
      <c r="B565" s="2" t="str">
        <f>IFERROR(__xludf.DUMMYFUNCTION("""COMPUTED_VALUE"""),"Post 1")</f>
        <v>Post 1</v>
      </c>
      <c r="C565" s="2" t="str">
        <f>IFERROR(__xludf.DUMMYFUNCTION("""COMPUTED_VALUE"""),"LAG 61")</f>
        <v>LAG 61</v>
      </c>
      <c r="D565" s="2">
        <f>IFERROR(__xludf.DUMMYFUNCTION("""COMPUTED_VALUE"""),16.0)</f>
        <v>16</v>
      </c>
      <c r="E565" s="2" t="str">
        <f>IFERROR(__xludf.DUMMYFUNCTION("""COMPUTED_VALUE"""),"Herrelag")</f>
        <v>Herrelag</v>
      </c>
    </row>
    <row r="566" ht="15.75" customHeight="1">
      <c r="A566" s="18">
        <f>IFERROR(__xludf.DUMMYFUNCTION("""COMPUTED_VALUE"""),45857.57085334491)</f>
        <v>45857.57085</v>
      </c>
      <c r="B566" s="2" t="str">
        <f>IFERROR(__xludf.DUMMYFUNCTION("""COMPUTED_VALUE"""),"Post 9")</f>
        <v>Post 9</v>
      </c>
      <c r="C566" s="2" t="str">
        <f>IFERROR(__xludf.DUMMYFUNCTION("""COMPUTED_VALUE"""),"LAG 40")</f>
        <v>LAG 40</v>
      </c>
      <c r="D566" s="2">
        <f>IFERROR(__xludf.DUMMYFUNCTION("""COMPUTED_VALUE"""),25.0)</f>
        <v>25</v>
      </c>
      <c r="E566" s="2" t="str">
        <f>IFERROR(__xludf.DUMMYFUNCTION("""COMPUTED_VALUE"""),"Damelag")</f>
        <v>Damelag</v>
      </c>
    </row>
    <row r="567" ht="15.75" customHeight="1">
      <c r="A567" s="18">
        <f>IFERROR(__xludf.DUMMYFUNCTION("""COMPUTED_VALUE"""),45857.57086129629)</f>
        <v>45857.57086</v>
      </c>
      <c r="B567" s="2" t="str">
        <f>IFERROR(__xludf.DUMMYFUNCTION("""COMPUTED_VALUE"""),"Post 15")</f>
        <v>Post 15</v>
      </c>
      <c r="C567" s="2" t="str">
        <f>IFERROR(__xludf.DUMMYFUNCTION("""COMPUTED_VALUE"""),"LAG 82")</f>
        <v>LAG 82</v>
      </c>
      <c r="D567" s="2">
        <f>IFERROR(__xludf.DUMMYFUNCTION("""COMPUTED_VALUE"""),20.0)</f>
        <v>20</v>
      </c>
      <c r="E567" s="2" t="str">
        <f>IFERROR(__xludf.DUMMYFUNCTION("""COMPUTED_VALUE"""),"Mixlag")</f>
        <v>Mixlag</v>
      </c>
    </row>
    <row r="568" ht="15.75" customHeight="1">
      <c r="A568" s="18">
        <f>IFERROR(__xludf.DUMMYFUNCTION("""COMPUTED_VALUE"""),45857.571219722224)</f>
        <v>45857.57122</v>
      </c>
      <c r="B568" s="2" t="str">
        <f>IFERROR(__xludf.DUMMYFUNCTION("""COMPUTED_VALUE"""),"Post 4")</f>
        <v>Post 4</v>
      </c>
      <c r="C568" s="2" t="str">
        <f>IFERROR(__xludf.DUMMYFUNCTION("""COMPUTED_VALUE"""),"LAG 13")</f>
        <v>LAG 13</v>
      </c>
      <c r="D568" s="2">
        <f>IFERROR(__xludf.DUMMYFUNCTION("""COMPUTED_VALUE"""),15.0)</f>
        <v>15</v>
      </c>
      <c r="E568" s="2" t="str">
        <f>IFERROR(__xludf.DUMMYFUNCTION("""COMPUTED_VALUE"""),"Herrelag")</f>
        <v>Herrelag</v>
      </c>
    </row>
    <row r="569" ht="15.75" customHeight="1">
      <c r="A569" s="18">
        <f>IFERROR(__xludf.DUMMYFUNCTION("""COMPUTED_VALUE"""),45857.57129263889)</f>
        <v>45857.57129</v>
      </c>
      <c r="B569" s="2" t="str">
        <f>IFERROR(__xludf.DUMMYFUNCTION("""COMPUTED_VALUE"""),"Post 18")</f>
        <v>Post 18</v>
      </c>
      <c r="C569" s="2" t="str">
        <f>IFERROR(__xludf.DUMMYFUNCTION("""COMPUTED_VALUE"""),"LAG 36")</f>
        <v>LAG 36</v>
      </c>
      <c r="D569" s="2">
        <f>IFERROR(__xludf.DUMMYFUNCTION("""COMPUTED_VALUE"""),12.0)</f>
        <v>12</v>
      </c>
      <c r="E569" s="2" t="str">
        <f>IFERROR(__xludf.DUMMYFUNCTION("""COMPUTED_VALUE"""),"Herrelag")</f>
        <v>Herrelag</v>
      </c>
    </row>
    <row r="570" ht="15.75" customHeight="1">
      <c r="A570" s="18">
        <f>IFERROR(__xludf.DUMMYFUNCTION("""COMPUTED_VALUE"""),45857.57146958333)</f>
        <v>45857.57147</v>
      </c>
      <c r="B570" s="2" t="str">
        <f>IFERROR(__xludf.DUMMYFUNCTION("""COMPUTED_VALUE"""),"Post 1")</f>
        <v>Post 1</v>
      </c>
      <c r="C570" s="2" t="str">
        <f>IFERROR(__xludf.DUMMYFUNCTION("""COMPUTED_VALUE"""),"LAG 53")</f>
        <v>LAG 53</v>
      </c>
      <c r="D570" s="2">
        <f>IFERROR(__xludf.DUMMYFUNCTION("""COMPUTED_VALUE"""),18.0)</f>
        <v>18</v>
      </c>
      <c r="E570" s="2" t="str">
        <f>IFERROR(__xludf.DUMMYFUNCTION("""COMPUTED_VALUE"""),"Damelag")</f>
        <v>Damelag</v>
      </c>
    </row>
    <row r="571" ht="15.75" customHeight="1">
      <c r="A571" s="18">
        <f>IFERROR(__xludf.DUMMYFUNCTION("""COMPUTED_VALUE"""),45857.57175121528)</f>
        <v>45857.57175</v>
      </c>
      <c r="B571" s="2" t="str">
        <f>IFERROR(__xludf.DUMMYFUNCTION("""COMPUTED_VALUE"""),"Post 4")</f>
        <v>Post 4</v>
      </c>
      <c r="C571" s="2" t="str">
        <f>IFERROR(__xludf.DUMMYFUNCTION("""COMPUTED_VALUE"""),"LAG 80")</f>
        <v>LAG 80</v>
      </c>
      <c r="D571" s="2">
        <f>IFERROR(__xludf.DUMMYFUNCTION("""COMPUTED_VALUE"""),15.0)</f>
        <v>15</v>
      </c>
      <c r="E571" s="2" t="str">
        <f>IFERROR(__xludf.DUMMYFUNCTION("""COMPUTED_VALUE"""),"Herrelag")</f>
        <v>Herrelag</v>
      </c>
    </row>
    <row r="572" ht="15.75" customHeight="1">
      <c r="A572" s="18">
        <f>IFERROR(__xludf.DUMMYFUNCTION("""COMPUTED_VALUE"""),45857.57196107639)</f>
        <v>45857.57196</v>
      </c>
      <c r="B572" s="2" t="str">
        <f>IFERROR(__xludf.DUMMYFUNCTION("""COMPUTED_VALUE"""),"Post 15")</f>
        <v>Post 15</v>
      </c>
      <c r="C572" s="2" t="str">
        <f>IFERROR(__xludf.DUMMYFUNCTION("""COMPUTED_VALUE"""),"LAG 47")</f>
        <v>LAG 47</v>
      </c>
      <c r="D572" s="2">
        <f>IFERROR(__xludf.DUMMYFUNCTION("""COMPUTED_VALUE"""),5.0)</f>
        <v>5</v>
      </c>
      <c r="E572" s="2" t="str">
        <f>IFERROR(__xludf.DUMMYFUNCTION("""COMPUTED_VALUE"""),"Mixlag")</f>
        <v>Mixlag</v>
      </c>
    </row>
    <row r="573" ht="15.75" customHeight="1">
      <c r="A573" s="18">
        <f>IFERROR(__xludf.DUMMYFUNCTION("""COMPUTED_VALUE"""),45857.57223319444)</f>
        <v>45857.57223</v>
      </c>
      <c r="B573" s="2" t="str">
        <f>IFERROR(__xludf.DUMMYFUNCTION("""COMPUTED_VALUE"""),"Post 1")</f>
        <v>Post 1</v>
      </c>
      <c r="C573" s="2" t="str">
        <f>IFERROR(__xludf.DUMMYFUNCTION("""COMPUTED_VALUE"""),"LAG 9")</f>
        <v>LAG 9</v>
      </c>
      <c r="D573" s="2">
        <f>IFERROR(__xludf.DUMMYFUNCTION("""COMPUTED_VALUE"""),16.0)</f>
        <v>16</v>
      </c>
      <c r="E573" s="2" t="str">
        <f>IFERROR(__xludf.DUMMYFUNCTION("""COMPUTED_VALUE"""),"Herrelag")</f>
        <v>Herrelag</v>
      </c>
    </row>
    <row r="574" ht="15.75" customHeight="1">
      <c r="A574" s="18">
        <f>IFERROR(__xludf.DUMMYFUNCTION("""COMPUTED_VALUE"""),45857.57232407408)</f>
        <v>45857.57232</v>
      </c>
      <c r="B574" s="2" t="str">
        <f>IFERROR(__xludf.DUMMYFUNCTION("""COMPUTED_VALUE"""),"Post 3")</f>
        <v>Post 3</v>
      </c>
      <c r="C574" s="2" t="str">
        <f>IFERROR(__xludf.DUMMYFUNCTION("""COMPUTED_VALUE"""),"LAG 21")</f>
        <v>LAG 21</v>
      </c>
      <c r="D574" s="2">
        <f>IFERROR(__xludf.DUMMYFUNCTION("""COMPUTED_VALUE"""),15.0)</f>
        <v>15</v>
      </c>
      <c r="E574" s="2" t="str">
        <f>IFERROR(__xludf.DUMMYFUNCTION("""COMPUTED_VALUE"""),"Damelag")</f>
        <v>Damelag</v>
      </c>
    </row>
    <row r="575" ht="15.75" customHeight="1">
      <c r="A575" s="18">
        <f>IFERROR(__xludf.DUMMYFUNCTION("""COMPUTED_VALUE"""),45857.57236662037)</f>
        <v>45857.57237</v>
      </c>
      <c r="B575" s="2" t="str">
        <f>IFERROR(__xludf.DUMMYFUNCTION("""COMPUTED_VALUE"""),"Post 8")</f>
        <v>Post 8</v>
      </c>
      <c r="C575" s="2" t="str">
        <f>IFERROR(__xludf.DUMMYFUNCTION("""COMPUTED_VALUE"""),"LAG 84")</f>
        <v>LAG 84</v>
      </c>
      <c r="D575" s="2">
        <f>IFERROR(__xludf.DUMMYFUNCTION("""COMPUTED_VALUE"""),12.0)</f>
        <v>12</v>
      </c>
      <c r="E575" s="2" t="str">
        <f>IFERROR(__xludf.DUMMYFUNCTION("""COMPUTED_VALUE"""),"Herrelag")</f>
        <v>Herrelag</v>
      </c>
    </row>
    <row r="576" ht="15.75" customHeight="1">
      <c r="A576" s="18">
        <f>IFERROR(__xludf.DUMMYFUNCTION("""COMPUTED_VALUE"""),45857.57285657407)</f>
        <v>45857.57286</v>
      </c>
      <c r="B576" s="2" t="str">
        <f>IFERROR(__xludf.DUMMYFUNCTION("""COMPUTED_VALUE"""),"Post 2")</f>
        <v>Post 2</v>
      </c>
      <c r="C576" s="2" t="str">
        <f>IFERROR(__xludf.DUMMYFUNCTION("""COMPUTED_VALUE"""),"LAG 6")</f>
        <v>LAG 6</v>
      </c>
      <c r="D576" s="2">
        <f>IFERROR(__xludf.DUMMYFUNCTION("""COMPUTED_VALUE"""),15.0)</f>
        <v>15</v>
      </c>
      <c r="E576" s="2" t="str">
        <f>IFERROR(__xludf.DUMMYFUNCTION("""COMPUTED_VALUE"""),"Mixlag")</f>
        <v>Mixlag</v>
      </c>
    </row>
    <row r="577" ht="15.75" customHeight="1">
      <c r="A577" s="18">
        <f>IFERROR(__xludf.DUMMYFUNCTION("""COMPUTED_VALUE"""),45857.57314170139)</f>
        <v>45857.57314</v>
      </c>
      <c r="B577" s="2" t="str">
        <f>IFERROR(__xludf.DUMMYFUNCTION("""COMPUTED_VALUE"""),"Post 4")</f>
        <v>Post 4</v>
      </c>
      <c r="C577" s="2" t="str">
        <f>IFERROR(__xludf.DUMMYFUNCTION("""COMPUTED_VALUE"""),"LAG 77")</f>
        <v>LAG 77</v>
      </c>
      <c r="D577" s="2">
        <f>IFERROR(__xludf.DUMMYFUNCTION("""COMPUTED_VALUE"""),15.0)</f>
        <v>15</v>
      </c>
      <c r="E577" s="2" t="str">
        <f>IFERROR(__xludf.DUMMYFUNCTION("""COMPUTED_VALUE"""),"Mixlag")</f>
        <v>Mixlag</v>
      </c>
    </row>
    <row r="578" ht="15.75" customHeight="1">
      <c r="A578" s="18">
        <f>IFERROR(__xludf.DUMMYFUNCTION("""COMPUTED_VALUE"""),45857.57319621528)</f>
        <v>45857.5732</v>
      </c>
      <c r="B578" s="2" t="str">
        <f>IFERROR(__xludf.DUMMYFUNCTION("""COMPUTED_VALUE"""),"Post 1")</f>
        <v>Post 1</v>
      </c>
      <c r="C578" s="2" t="str">
        <f>IFERROR(__xludf.DUMMYFUNCTION("""COMPUTED_VALUE"""),"LAG 67")</f>
        <v>LAG 67</v>
      </c>
      <c r="D578" s="2">
        <f>IFERROR(__xludf.DUMMYFUNCTION("""COMPUTED_VALUE"""),18.0)</f>
        <v>18</v>
      </c>
      <c r="E578" s="2" t="str">
        <f>IFERROR(__xludf.DUMMYFUNCTION("""COMPUTED_VALUE"""),"Damelag")</f>
        <v>Damelag</v>
      </c>
    </row>
    <row r="579" ht="15.75" customHeight="1">
      <c r="A579" s="18">
        <f>IFERROR(__xludf.DUMMYFUNCTION("""COMPUTED_VALUE"""),45857.573323993056)</f>
        <v>45857.57332</v>
      </c>
      <c r="B579" s="2" t="str">
        <f>IFERROR(__xludf.DUMMYFUNCTION("""COMPUTED_VALUE"""),"Post 6")</f>
        <v>Post 6</v>
      </c>
      <c r="C579" s="2" t="str">
        <f>IFERROR(__xludf.DUMMYFUNCTION("""COMPUTED_VALUE"""),"LAG 65")</f>
        <v>LAG 65</v>
      </c>
      <c r="D579" s="2">
        <f>IFERROR(__xludf.DUMMYFUNCTION("""COMPUTED_VALUE"""),20.0)</f>
        <v>20</v>
      </c>
      <c r="E579" s="2" t="str">
        <f>IFERROR(__xludf.DUMMYFUNCTION("""COMPUTED_VALUE"""),"Mixlag")</f>
        <v>Mixlag</v>
      </c>
    </row>
    <row r="580" ht="15.75" customHeight="1">
      <c r="A580" s="18">
        <f>IFERROR(__xludf.DUMMYFUNCTION("""COMPUTED_VALUE"""),45857.57335118056)</f>
        <v>45857.57335</v>
      </c>
      <c r="B580" s="2" t="str">
        <f>IFERROR(__xludf.DUMMYFUNCTION("""COMPUTED_VALUE"""),"Post 12")</f>
        <v>Post 12</v>
      </c>
      <c r="C580" s="2" t="str">
        <f>IFERROR(__xludf.DUMMYFUNCTION("""COMPUTED_VALUE"""),"LAG 70")</f>
        <v>LAG 70</v>
      </c>
      <c r="D580" s="2">
        <f>IFERROR(__xludf.DUMMYFUNCTION("""COMPUTED_VALUE"""),15.0)</f>
        <v>15</v>
      </c>
      <c r="E580" s="2" t="str">
        <f>IFERROR(__xludf.DUMMYFUNCTION("""COMPUTED_VALUE"""),"Mixlag")</f>
        <v>Mixlag</v>
      </c>
    </row>
    <row r="581" ht="15.75" customHeight="1">
      <c r="A581" s="18">
        <f>IFERROR(__xludf.DUMMYFUNCTION("""COMPUTED_VALUE"""),45857.573526249995)</f>
        <v>45857.57353</v>
      </c>
      <c r="B581" s="2" t="str">
        <f>IFERROR(__xludf.DUMMYFUNCTION("""COMPUTED_VALUE"""),"Post 12")</f>
        <v>Post 12</v>
      </c>
      <c r="C581" s="2" t="str">
        <f>IFERROR(__xludf.DUMMYFUNCTION("""COMPUTED_VALUE"""),"LAG 55")</f>
        <v>LAG 55</v>
      </c>
      <c r="D581" s="2">
        <f>IFERROR(__xludf.DUMMYFUNCTION("""COMPUTED_VALUE"""),15.0)</f>
        <v>15</v>
      </c>
      <c r="E581" s="2" t="str">
        <f>IFERROR(__xludf.DUMMYFUNCTION("""COMPUTED_VALUE"""),"Damelag")</f>
        <v>Damelag</v>
      </c>
    </row>
    <row r="582" ht="15.75" customHeight="1">
      <c r="A582" s="18">
        <f>IFERROR(__xludf.DUMMYFUNCTION("""COMPUTED_VALUE"""),45857.57387409722)</f>
        <v>45857.57387</v>
      </c>
      <c r="B582" s="2" t="str">
        <f>IFERROR(__xludf.DUMMYFUNCTION("""COMPUTED_VALUE"""),"Post 5")</f>
        <v>Post 5</v>
      </c>
      <c r="C582" s="2" t="str">
        <f>IFERROR(__xludf.DUMMYFUNCTION("""COMPUTED_VALUE"""),"LAG 19")</f>
        <v>LAG 19</v>
      </c>
      <c r="D582" s="2">
        <f>IFERROR(__xludf.DUMMYFUNCTION("""COMPUTED_VALUE"""),10.0)</f>
        <v>10</v>
      </c>
      <c r="E582" s="2" t="str">
        <f>IFERROR(__xludf.DUMMYFUNCTION("""COMPUTED_VALUE"""),"Herrelag")</f>
        <v>Herrelag</v>
      </c>
    </row>
    <row r="583" ht="15.75" customHeight="1">
      <c r="A583" s="18">
        <f>IFERROR(__xludf.DUMMYFUNCTION("""COMPUTED_VALUE"""),45857.57408839121)</f>
        <v>45857.57409</v>
      </c>
      <c r="B583" s="2" t="str">
        <f>IFERROR(__xludf.DUMMYFUNCTION("""COMPUTED_VALUE"""),"Post 9")</f>
        <v>Post 9</v>
      </c>
      <c r="C583" s="2" t="str">
        <f>IFERROR(__xludf.DUMMYFUNCTION("""COMPUTED_VALUE"""),"LAG 72")</f>
        <v>LAG 72</v>
      </c>
      <c r="D583" s="2">
        <f>IFERROR(__xludf.DUMMYFUNCTION("""COMPUTED_VALUE"""),25.0)</f>
        <v>25</v>
      </c>
      <c r="E583" s="2" t="str">
        <f>IFERROR(__xludf.DUMMYFUNCTION("""COMPUTED_VALUE"""),"Herrelag")</f>
        <v>Herrelag</v>
      </c>
    </row>
    <row r="584" ht="15.75" customHeight="1">
      <c r="A584" s="18">
        <f>IFERROR(__xludf.DUMMYFUNCTION("""COMPUTED_VALUE"""),45857.57439391204)</f>
        <v>45857.57439</v>
      </c>
      <c r="B584" s="2" t="str">
        <f>IFERROR(__xludf.DUMMYFUNCTION("""COMPUTED_VALUE"""),"Post 3")</f>
        <v>Post 3</v>
      </c>
      <c r="C584" s="2" t="str">
        <f>IFERROR(__xludf.DUMMYFUNCTION("""COMPUTED_VALUE"""),"LAG 81")</f>
        <v>LAG 81</v>
      </c>
      <c r="D584" s="2">
        <f>IFERROR(__xludf.DUMMYFUNCTION("""COMPUTED_VALUE"""),13.0)</f>
        <v>13</v>
      </c>
      <c r="E584" s="2" t="str">
        <f>IFERROR(__xludf.DUMMYFUNCTION("""COMPUTED_VALUE"""),"Herrelag")</f>
        <v>Herrelag</v>
      </c>
    </row>
    <row r="585" ht="15.75" customHeight="1">
      <c r="A585" s="18">
        <f>IFERROR(__xludf.DUMMYFUNCTION("""COMPUTED_VALUE"""),45857.57446013889)</f>
        <v>45857.57446</v>
      </c>
      <c r="B585" s="2" t="str">
        <f>IFERROR(__xludf.DUMMYFUNCTION("""COMPUTED_VALUE"""),"Post 8")</f>
        <v>Post 8</v>
      </c>
      <c r="C585" s="2" t="str">
        <f>IFERROR(__xludf.DUMMYFUNCTION("""COMPUTED_VALUE"""),"LAG 82")</f>
        <v>LAG 82</v>
      </c>
      <c r="D585" s="2">
        <f>IFERROR(__xludf.DUMMYFUNCTION("""COMPUTED_VALUE"""),11.0)</f>
        <v>11</v>
      </c>
      <c r="E585" s="2" t="str">
        <f>IFERROR(__xludf.DUMMYFUNCTION("""COMPUTED_VALUE"""),"Mixlag")</f>
        <v>Mixlag</v>
      </c>
    </row>
    <row r="586" ht="15.75" customHeight="1">
      <c r="A586" s="18">
        <f>IFERROR(__xludf.DUMMYFUNCTION("""COMPUTED_VALUE"""),45857.57451303241)</f>
        <v>45857.57451</v>
      </c>
      <c r="B586" s="2" t="str">
        <f>IFERROR(__xludf.DUMMYFUNCTION("""COMPUTED_VALUE"""),"Post 15")</f>
        <v>Post 15</v>
      </c>
      <c r="C586" s="2" t="str">
        <f>IFERROR(__xludf.DUMMYFUNCTION("""COMPUTED_VALUE"""),"LAG 22")</f>
        <v>LAG 22</v>
      </c>
      <c r="D586" s="2">
        <f>IFERROR(__xludf.DUMMYFUNCTION("""COMPUTED_VALUE"""),5.0)</f>
        <v>5</v>
      </c>
      <c r="E586" s="2" t="str">
        <f>IFERROR(__xludf.DUMMYFUNCTION("""COMPUTED_VALUE"""),"Damelag")</f>
        <v>Damelag</v>
      </c>
    </row>
    <row r="587" ht="15.75" customHeight="1">
      <c r="A587" s="18">
        <f>IFERROR(__xludf.DUMMYFUNCTION("""COMPUTED_VALUE"""),45857.57476822917)</f>
        <v>45857.57477</v>
      </c>
      <c r="B587" s="2" t="str">
        <f>IFERROR(__xludf.DUMMYFUNCTION("""COMPUTED_VALUE"""),"Post 1")</f>
        <v>Post 1</v>
      </c>
      <c r="C587" s="2" t="str">
        <f>IFERROR(__xludf.DUMMYFUNCTION("""COMPUTED_VALUE"""),"LAG 12")</f>
        <v>LAG 12</v>
      </c>
      <c r="D587" s="2">
        <f>IFERROR(__xludf.DUMMYFUNCTION("""COMPUTED_VALUE"""),0.0)</f>
        <v>0</v>
      </c>
      <c r="E587" s="2" t="str">
        <f>IFERROR(__xludf.DUMMYFUNCTION("""COMPUTED_VALUE"""),"Damelag")</f>
        <v>Damelag</v>
      </c>
    </row>
    <row r="588" ht="15.75" customHeight="1">
      <c r="A588" s="18">
        <f>IFERROR(__xludf.DUMMYFUNCTION("""COMPUTED_VALUE"""),45857.57479254629)</f>
        <v>45857.57479</v>
      </c>
      <c r="B588" s="2" t="str">
        <f>IFERROR(__xludf.DUMMYFUNCTION("""COMPUTED_VALUE"""),"Post 18")</f>
        <v>Post 18</v>
      </c>
      <c r="C588" s="2" t="str">
        <f>IFERROR(__xludf.DUMMYFUNCTION("""COMPUTED_VALUE"""),"LAG 55")</f>
        <v>LAG 55</v>
      </c>
      <c r="D588" s="2">
        <f>IFERROR(__xludf.DUMMYFUNCTION("""COMPUTED_VALUE"""),12.0)</f>
        <v>12</v>
      </c>
      <c r="E588" s="2" t="str">
        <f>IFERROR(__xludf.DUMMYFUNCTION("""COMPUTED_VALUE"""),"Damelag")</f>
        <v>Damelag</v>
      </c>
    </row>
    <row r="589" ht="15.75" customHeight="1">
      <c r="A589" s="18">
        <f>IFERROR(__xludf.DUMMYFUNCTION("""COMPUTED_VALUE"""),45857.57501748843)</f>
        <v>45857.57502</v>
      </c>
      <c r="B589" s="2" t="str">
        <f>IFERROR(__xludf.DUMMYFUNCTION("""COMPUTED_VALUE"""),"Post 6")</f>
        <v>Post 6</v>
      </c>
      <c r="C589" s="2" t="str">
        <f>IFERROR(__xludf.DUMMYFUNCTION("""COMPUTED_VALUE"""),"LAG 20")</f>
        <v>LAG 20</v>
      </c>
      <c r="D589" s="2">
        <f>IFERROR(__xludf.DUMMYFUNCTION("""COMPUTED_VALUE"""),20.0)</f>
        <v>20</v>
      </c>
      <c r="E589" s="2" t="str">
        <f>IFERROR(__xludf.DUMMYFUNCTION("""COMPUTED_VALUE"""),"Damelag")</f>
        <v>Damelag</v>
      </c>
    </row>
    <row r="590" ht="15.75" customHeight="1">
      <c r="A590" s="18">
        <f>IFERROR(__xludf.DUMMYFUNCTION("""COMPUTED_VALUE"""),45857.57512415509)</f>
        <v>45857.57512</v>
      </c>
      <c r="B590" s="2" t="str">
        <f>IFERROR(__xludf.DUMMYFUNCTION("""COMPUTED_VALUE"""),"Post 4")</f>
        <v>Post 4</v>
      </c>
      <c r="C590" s="2" t="str">
        <f>IFERROR(__xludf.DUMMYFUNCTION("""COMPUTED_VALUE"""),"LAG 37")</f>
        <v>LAG 37</v>
      </c>
      <c r="D590" s="2">
        <f>IFERROR(__xludf.DUMMYFUNCTION("""COMPUTED_VALUE"""),10.0)</f>
        <v>10</v>
      </c>
      <c r="E590" s="2" t="str">
        <f>IFERROR(__xludf.DUMMYFUNCTION("""COMPUTED_VALUE"""),"Herrelag")</f>
        <v>Herrelag</v>
      </c>
    </row>
    <row r="591" ht="15.75" customHeight="1">
      <c r="A591" s="18">
        <f>IFERROR(__xludf.DUMMYFUNCTION("""COMPUTED_VALUE"""),45857.575472384255)</f>
        <v>45857.57547</v>
      </c>
      <c r="B591" s="2" t="str">
        <f>IFERROR(__xludf.DUMMYFUNCTION("""COMPUTED_VALUE"""),"Post 1")</f>
        <v>Post 1</v>
      </c>
      <c r="C591" s="2" t="str">
        <f>IFERROR(__xludf.DUMMYFUNCTION("""COMPUTED_VALUE"""),"LAG 14")</f>
        <v>LAG 14</v>
      </c>
      <c r="D591" s="2">
        <f>IFERROR(__xludf.DUMMYFUNCTION("""COMPUTED_VALUE"""),14.0)</f>
        <v>14</v>
      </c>
      <c r="E591" s="2" t="str">
        <f>IFERROR(__xludf.DUMMYFUNCTION("""COMPUTED_VALUE"""),"Mixlag")</f>
        <v>Mixlag</v>
      </c>
    </row>
    <row r="592" ht="15.75" customHeight="1">
      <c r="A592" s="18">
        <f>IFERROR(__xludf.DUMMYFUNCTION("""COMPUTED_VALUE"""),45857.575505092595)</f>
        <v>45857.57551</v>
      </c>
      <c r="B592" s="2" t="str">
        <f>IFERROR(__xludf.DUMMYFUNCTION("""COMPUTED_VALUE"""),"Post 15")</f>
        <v>Post 15</v>
      </c>
      <c r="C592" s="2" t="str">
        <f>IFERROR(__xludf.DUMMYFUNCTION("""COMPUTED_VALUE"""),"LAG 50")</f>
        <v>LAG 50</v>
      </c>
      <c r="D592" s="2">
        <f>IFERROR(__xludf.DUMMYFUNCTION("""COMPUTED_VALUE"""),20.0)</f>
        <v>20</v>
      </c>
      <c r="E592" s="2" t="str">
        <f>IFERROR(__xludf.DUMMYFUNCTION("""COMPUTED_VALUE"""),"Herrelag")</f>
        <v>Herrelag</v>
      </c>
    </row>
    <row r="593" ht="15.75" customHeight="1">
      <c r="A593" s="18">
        <f>IFERROR(__xludf.DUMMYFUNCTION("""COMPUTED_VALUE"""),45857.57569866898)</f>
        <v>45857.5757</v>
      </c>
      <c r="B593" s="2" t="str">
        <f>IFERROR(__xludf.DUMMYFUNCTION("""COMPUTED_VALUE"""),"Post 6")</f>
        <v>Post 6</v>
      </c>
      <c r="C593" s="2" t="str">
        <f>IFERROR(__xludf.DUMMYFUNCTION("""COMPUTED_VALUE"""),"LAG 44")</f>
        <v>LAG 44</v>
      </c>
      <c r="D593" s="2">
        <f>IFERROR(__xludf.DUMMYFUNCTION("""COMPUTED_VALUE"""),20.0)</f>
        <v>20</v>
      </c>
      <c r="E593" s="2" t="str">
        <f>IFERROR(__xludf.DUMMYFUNCTION("""COMPUTED_VALUE"""),"Damelag")</f>
        <v>Damelag</v>
      </c>
    </row>
    <row r="594" ht="15.75" customHeight="1">
      <c r="A594" s="18">
        <f>IFERROR(__xludf.DUMMYFUNCTION("""COMPUTED_VALUE"""),45857.575789803246)</f>
        <v>45857.57579</v>
      </c>
      <c r="B594" s="2" t="str">
        <f>IFERROR(__xludf.DUMMYFUNCTION("""COMPUTED_VALUE"""),"Post 4")</f>
        <v>Post 4</v>
      </c>
      <c r="C594" s="2" t="str">
        <f>IFERROR(__xludf.DUMMYFUNCTION("""COMPUTED_VALUE"""),"LAG 35")</f>
        <v>LAG 35</v>
      </c>
      <c r="D594" s="2">
        <f>IFERROR(__xludf.DUMMYFUNCTION("""COMPUTED_VALUE"""),15.0)</f>
        <v>15</v>
      </c>
      <c r="E594" s="2" t="str">
        <f>IFERROR(__xludf.DUMMYFUNCTION("""COMPUTED_VALUE"""),"Damelag")</f>
        <v>Damelag</v>
      </c>
    </row>
    <row r="595" ht="15.75" customHeight="1">
      <c r="A595" s="18">
        <f>IFERROR(__xludf.DUMMYFUNCTION("""COMPUTED_VALUE"""),45857.575807650464)</f>
        <v>45857.57581</v>
      </c>
      <c r="B595" s="2" t="str">
        <f>IFERROR(__xludf.DUMMYFUNCTION("""COMPUTED_VALUE"""),"Post 20")</f>
        <v>Post 20</v>
      </c>
      <c r="C595" s="2" t="str">
        <f>IFERROR(__xludf.DUMMYFUNCTION("""COMPUTED_VALUE"""),"LAG 56")</f>
        <v>LAG 56</v>
      </c>
      <c r="D595" s="2">
        <f>IFERROR(__xludf.DUMMYFUNCTION("""COMPUTED_VALUE"""),20.0)</f>
        <v>20</v>
      </c>
      <c r="E595" s="2" t="str">
        <f>IFERROR(__xludf.DUMMYFUNCTION("""COMPUTED_VALUE"""),"Mixlag")</f>
        <v>Mixlag</v>
      </c>
    </row>
    <row r="596" ht="15.75" customHeight="1">
      <c r="A596" s="18">
        <f>IFERROR(__xludf.DUMMYFUNCTION("""COMPUTED_VALUE"""),45857.57586351852)</f>
        <v>45857.57586</v>
      </c>
      <c r="B596" s="2" t="str">
        <f>IFERROR(__xludf.DUMMYFUNCTION("""COMPUTED_VALUE"""),"Post 18")</f>
        <v>Post 18</v>
      </c>
      <c r="C596" s="2" t="str">
        <f>IFERROR(__xludf.DUMMYFUNCTION("""COMPUTED_VALUE"""),"LAG 24")</f>
        <v>LAG 24</v>
      </c>
      <c r="D596" s="2">
        <f>IFERROR(__xludf.DUMMYFUNCTION("""COMPUTED_VALUE"""),16.0)</f>
        <v>16</v>
      </c>
      <c r="E596" s="2" t="str">
        <f>IFERROR(__xludf.DUMMYFUNCTION("""COMPUTED_VALUE"""),"Herrelag")</f>
        <v>Herrelag</v>
      </c>
    </row>
    <row r="597" ht="15.75" customHeight="1">
      <c r="A597" s="18">
        <f>IFERROR(__xludf.DUMMYFUNCTION("""COMPUTED_VALUE"""),45857.57609851852)</f>
        <v>45857.5761</v>
      </c>
      <c r="B597" s="2" t="str">
        <f>IFERROR(__xludf.DUMMYFUNCTION("""COMPUTED_VALUE"""),"Post 12")</f>
        <v>Post 12</v>
      </c>
      <c r="C597" s="2" t="str">
        <f>IFERROR(__xludf.DUMMYFUNCTION("""COMPUTED_VALUE"""),"LAG 19")</f>
        <v>LAG 19</v>
      </c>
      <c r="D597" s="2">
        <f>IFERROR(__xludf.DUMMYFUNCTION("""COMPUTED_VALUE"""),16.0)</f>
        <v>16</v>
      </c>
      <c r="E597" s="2" t="str">
        <f>IFERROR(__xludf.DUMMYFUNCTION("""COMPUTED_VALUE"""),"Herrelag")</f>
        <v>Herrelag</v>
      </c>
    </row>
    <row r="598" ht="15.75" customHeight="1">
      <c r="A598" s="18">
        <f>IFERROR(__xludf.DUMMYFUNCTION("""COMPUTED_VALUE"""),45857.576170625005)</f>
        <v>45857.57617</v>
      </c>
      <c r="B598" s="2" t="str">
        <f>IFERROR(__xludf.DUMMYFUNCTION("""COMPUTED_VALUE"""),"Post 2")</f>
        <v>Post 2</v>
      </c>
      <c r="C598" s="2" t="str">
        <f>IFERROR(__xludf.DUMMYFUNCTION("""COMPUTED_VALUE"""),"LAG 39")</f>
        <v>LAG 39</v>
      </c>
      <c r="D598" s="2">
        <f>IFERROR(__xludf.DUMMYFUNCTION("""COMPUTED_VALUE"""),15.0)</f>
        <v>15</v>
      </c>
      <c r="E598" s="2" t="str">
        <f>IFERROR(__xludf.DUMMYFUNCTION("""COMPUTED_VALUE"""),"Herrelag")</f>
        <v>Herrelag</v>
      </c>
    </row>
    <row r="599" ht="15.75" customHeight="1">
      <c r="A599" s="18">
        <f>IFERROR(__xludf.DUMMYFUNCTION("""COMPUTED_VALUE"""),45857.57625247685)</f>
        <v>45857.57625</v>
      </c>
      <c r="B599" s="2" t="str">
        <f>IFERROR(__xludf.DUMMYFUNCTION("""COMPUTED_VALUE"""),"Post 20")</f>
        <v>Post 20</v>
      </c>
      <c r="C599" s="2" t="str">
        <f>IFERROR(__xludf.DUMMYFUNCTION("""COMPUTED_VALUE"""),"LAG 46")</f>
        <v>LAG 46</v>
      </c>
      <c r="D599" s="2">
        <f>IFERROR(__xludf.DUMMYFUNCTION("""COMPUTED_VALUE"""),20.0)</f>
        <v>20</v>
      </c>
      <c r="E599" s="2" t="str">
        <f>IFERROR(__xludf.DUMMYFUNCTION("""COMPUTED_VALUE"""),"Mixlag")</f>
        <v>Mixlag</v>
      </c>
    </row>
    <row r="600" ht="15.75" customHeight="1">
      <c r="A600" s="18">
        <f>IFERROR(__xludf.DUMMYFUNCTION("""COMPUTED_VALUE"""),45857.57626353009)</f>
        <v>45857.57626</v>
      </c>
      <c r="B600" s="2" t="str">
        <f>IFERROR(__xludf.DUMMYFUNCTION("""COMPUTED_VALUE"""),"Post 3")</f>
        <v>Post 3</v>
      </c>
      <c r="C600" s="2" t="str">
        <f>IFERROR(__xludf.DUMMYFUNCTION("""COMPUTED_VALUE"""),"LAG 38")</f>
        <v>LAG 38</v>
      </c>
      <c r="D600" s="2">
        <f>IFERROR(__xludf.DUMMYFUNCTION("""COMPUTED_VALUE"""),16.0)</f>
        <v>16</v>
      </c>
      <c r="E600" s="2" t="str">
        <f>IFERROR(__xludf.DUMMYFUNCTION("""COMPUTED_VALUE"""),"Damelag")</f>
        <v>Damelag</v>
      </c>
    </row>
    <row r="601" ht="15.75" customHeight="1">
      <c r="A601" s="18">
        <f>IFERROR(__xludf.DUMMYFUNCTION("""COMPUTED_VALUE"""),45857.57634613426)</f>
        <v>45857.57635</v>
      </c>
      <c r="B601" s="2" t="str">
        <f>IFERROR(__xludf.DUMMYFUNCTION("""COMPUTED_VALUE"""),"Post 4")</f>
        <v>Post 4</v>
      </c>
      <c r="C601" s="2" t="str">
        <f>IFERROR(__xludf.DUMMYFUNCTION("""COMPUTED_VALUE"""),"LAG 15")</f>
        <v>LAG 15</v>
      </c>
      <c r="D601" s="2">
        <f>IFERROR(__xludf.DUMMYFUNCTION("""COMPUTED_VALUE"""),15.0)</f>
        <v>15</v>
      </c>
      <c r="E601" s="2" t="str">
        <f>IFERROR(__xludf.DUMMYFUNCTION("""COMPUTED_VALUE"""),"Herrelag")</f>
        <v>Herrelag</v>
      </c>
    </row>
    <row r="602" ht="15.75" customHeight="1">
      <c r="A602" s="18">
        <f>IFERROR(__xludf.DUMMYFUNCTION("""COMPUTED_VALUE"""),45857.576362430555)</f>
        <v>45857.57636</v>
      </c>
      <c r="B602" s="2" t="str">
        <f>IFERROR(__xludf.DUMMYFUNCTION("""COMPUTED_VALUE"""),"Post 6")</f>
        <v>Post 6</v>
      </c>
      <c r="C602" s="2" t="str">
        <f>IFERROR(__xludf.DUMMYFUNCTION("""COMPUTED_VALUE"""),"LAG 75")</f>
        <v>LAG 75</v>
      </c>
      <c r="D602" s="2">
        <f>IFERROR(__xludf.DUMMYFUNCTION("""COMPUTED_VALUE"""),20.0)</f>
        <v>20</v>
      </c>
      <c r="E602" s="2" t="str">
        <f>IFERROR(__xludf.DUMMYFUNCTION("""COMPUTED_VALUE"""),"Herrelag")</f>
        <v>Herrelag</v>
      </c>
    </row>
    <row r="603" ht="15.75" customHeight="1">
      <c r="A603" s="18">
        <f>IFERROR(__xludf.DUMMYFUNCTION("""COMPUTED_VALUE"""),45857.57639819445)</f>
        <v>45857.5764</v>
      </c>
      <c r="B603" s="2" t="str">
        <f>IFERROR(__xludf.DUMMYFUNCTION("""COMPUTED_VALUE"""),"Post 8")</f>
        <v>Post 8</v>
      </c>
      <c r="C603" s="2" t="str">
        <f>IFERROR(__xludf.DUMMYFUNCTION("""COMPUTED_VALUE"""),"LAG 73")</f>
        <v>LAG 73</v>
      </c>
      <c r="D603" s="2">
        <f>IFERROR(__xludf.DUMMYFUNCTION("""COMPUTED_VALUE"""),16.0)</f>
        <v>16</v>
      </c>
      <c r="E603" s="2" t="str">
        <f>IFERROR(__xludf.DUMMYFUNCTION("""COMPUTED_VALUE"""),"Mixlag")</f>
        <v>Mixlag</v>
      </c>
    </row>
    <row r="604" ht="15.75" customHeight="1">
      <c r="A604" s="18">
        <f>IFERROR(__xludf.DUMMYFUNCTION("""COMPUTED_VALUE"""),45857.57653116898)</f>
        <v>45857.57653</v>
      </c>
      <c r="B604" s="2" t="str">
        <f>IFERROR(__xludf.DUMMYFUNCTION("""COMPUTED_VALUE"""),"Post 15")</f>
        <v>Post 15</v>
      </c>
      <c r="C604" s="2" t="str">
        <f>IFERROR(__xludf.DUMMYFUNCTION("""COMPUTED_VALUE"""),"LAG 65")</f>
        <v>LAG 65</v>
      </c>
      <c r="D604" s="2">
        <f>IFERROR(__xludf.DUMMYFUNCTION("""COMPUTED_VALUE"""),20.0)</f>
        <v>20</v>
      </c>
      <c r="E604" s="2" t="str">
        <f>IFERROR(__xludf.DUMMYFUNCTION("""COMPUTED_VALUE"""),"Mixlag")</f>
        <v>Mixlag</v>
      </c>
    </row>
    <row r="605" ht="15.75" customHeight="1">
      <c r="A605" s="18">
        <f>IFERROR(__xludf.DUMMYFUNCTION("""COMPUTED_VALUE"""),45857.57675143519)</f>
        <v>45857.57675</v>
      </c>
      <c r="B605" s="2" t="str">
        <f>IFERROR(__xludf.DUMMYFUNCTION("""COMPUTED_VALUE"""),"Post 12")</f>
        <v>Post 12</v>
      </c>
      <c r="C605" s="2" t="str">
        <f>IFERROR(__xludf.DUMMYFUNCTION("""COMPUTED_VALUE"""),"LAG 60")</f>
        <v>LAG 60</v>
      </c>
      <c r="D605" s="2">
        <f>IFERROR(__xludf.DUMMYFUNCTION("""COMPUTED_VALUE"""),13.0)</f>
        <v>13</v>
      </c>
      <c r="E605" s="2" t="str">
        <f>IFERROR(__xludf.DUMMYFUNCTION("""COMPUTED_VALUE"""),"Herrelag")</f>
        <v>Herrelag</v>
      </c>
    </row>
    <row r="606" ht="15.75" customHeight="1">
      <c r="A606" s="18">
        <f>IFERROR(__xludf.DUMMYFUNCTION("""COMPUTED_VALUE"""),45857.57692603009)</f>
        <v>45857.57693</v>
      </c>
      <c r="B606" s="2" t="str">
        <f>IFERROR(__xludf.DUMMYFUNCTION("""COMPUTED_VALUE"""),"Post 2")</f>
        <v>Post 2</v>
      </c>
      <c r="C606" s="2" t="str">
        <f>IFERROR(__xludf.DUMMYFUNCTION("""COMPUTED_VALUE"""),"LAG 64")</f>
        <v>LAG 64</v>
      </c>
      <c r="D606" s="2">
        <f>IFERROR(__xludf.DUMMYFUNCTION("""COMPUTED_VALUE"""),15.0)</f>
        <v>15</v>
      </c>
      <c r="E606" s="2" t="str">
        <f>IFERROR(__xludf.DUMMYFUNCTION("""COMPUTED_VALUE"""),"Damelag")</f>
        <v>Damelag</v>
      </c>
    </row>
    <row r="607" ht="15.75" customHeight="1">
      <c r="A607" s="18">
        <f>IFERROR(__xludf.DUMMYFUNCTION("""COMPUTED_VALUE"""),45857.577126516204)</f>
        <v>45857.57713</v>
      </c>
      <c r="B607" s="2" t="str">
        <f>IFERROR(__xludf.DUMMYFUNCTION("""COMPUTED_VALUE"""),"Post 6")</f>
        <v>Post 6</v>
      </c>
      <c r="C607" s="2" t="str">
        <f>IFERROR(__xludf.DUMMYFUNCTION("""COMPUTED_VALUE"""),"LAG 69")</f>
        <v>LAG 69</v>
      </c>
      <c r="D607" s="2">
        <f>IFERROR(__xludf.DUMMYFUNCTION("""COMPUTED_VALUE"""),4.0)</f>
        <v>4</v>
      </c>
      <c r="E607" s="2" t="str">
        <f>IFERROR(__xludf.DUMMYFUNCTION("""COMPUTED_VALUE"""),"Herrelag")</f>
        <v>Herrelag</v>
      </c>
    </row>
    <row r="608" ht="15.75" customHeight="1">
      <c r="A608" s="18">
        <f>IFERROR(__xludf.DUMMYFUNCTION("""COMPUTED_VALUE"""),45857.577183622685)</f>
        <v>45857.57718</v>
      </c>
      <c r="B608" s="2" t="str">
        <f>IFERROR(__xludf.DUMMYFUNCTION("""COMPUTED_VALUE"""),"Post 15")</f>
        <v>Post 15</v>
      </c>
      <c r="C608" s="2" t="str">
        <f>IFERROR(__xludf.DUMMYFUNCTION("""COMPUTED_VALUE"""),"LAG 45")</f>
        <v>LAG 45</v>
      </c>
      <c r="D608" s="2">
        <f>IFERROR(__xludf.DUMMYFUNCTION("""COMPUTED_VALUE"""),20.0)</f>
        <v>20</v>
      </c>
      <c r="E608" s="2" t="str">
        <f>IFERROR(__xludf.DUMMYFUNCTION("""COMPUTED_VALUE"""),"Damelag")</f>
        <v>Damelag</v>
      </c>
    </row>
    <row r="609" ht="15.75" customHeight="1">
      <c r="A609" s="18">
        <f>IFERROR(__xludf.DUMMYFUNCTION("""COMPUTED_VALUE"""),45857.57753805556)</f>
        <v>45857.57754</v>
      </c>
      <c r="B609" s="2" t="str">
        <f>IFERROR(__xludf.DUMMYFUNCTION("""COMPUTED_VALUE"""),"Post 20")</f>
        <v>Post 20</v>
      </c>
      <c r="C609" s="2" t="str">
        <f>IFERROR(__xludf.DUMMYFUNCTION("""COMPUTED_VALUE"""),"LAG 47")</f>
        <v>LAG 47</v>
      </c>
      <c r="D609" s="2">
        <f>IFERROR(__xludf.DUMMYFUNCTION("""COMPUTED_VALUE"""),20.0)</f>
        <v>20</v>
      </c>
      <c r="E609" s="2" t="str">
        <f>IFERROR(__xludf.DUMMYFUNCTION("""COMPUTED_VALUE"""),"Mixlag")</f>
        <v>Mixlag</v>
      </c>
    </row>
    <row r="610" ht="15.75" customHeight="1">
      <c r="A610" s="18">
        <f>IFERROR(__xludf.DUMMYFUNCTION("""COMPUTED_VALUE"""),45857.5775819213)</f>
        <v>45857.57758</v>
      </c>
      <c r="B610" s="2" t="str">
        <f>IFERROR(__xludf.DUMMYFUNCTION("""COMPUTED_VALUE"""),"Post 18")</f>
        <v>Post 18</v>
      </c>
      <c r="C610" s="2" t="str">
        <f>IFERROR(__xludf.DUMMYFUNCTION("""COMPUTED_VALUE"""),"LAG 46")</f>
        <v>LAG 46</v>
      </c>
      <c r="D610" s="2">
        <f>IFERROR(__xludf.DUMMYFUNCTION("""COMPUTED_VALUE"""),8.0)</f>
        <v>8</v>
      </c>
      <c r="E610" s="2" t="str">
        <f>IFERROR(__xludf.DUMMYFUNCTION("""COMPUTED_VALUE"""),"Mixlag")</f>
        <v>Mixlag</v>
      </c>
    </row>
    <row r="611" ht="15.75" customHeight="1">
      <c r="A611" s="18">
        <f>IFERROR(__xludf.DUMMYFUNCTION("""COMPUTED_VALUE"""),45857.577911307875)</f>
        <v>45857.57791</v>
      </c>
      <c r="B611" s="2" t="str">
        <f>IFERROR(__xludf.DUMMYFUNCTION("""COMPUTED_VALUE"""),"Post 10")</f>
        <v>Post 10</v>
      </c>
      <c r="C611" s="2" t="str">
        <f>IFERROR(__xludf.DUMMYFUNCTION("""COMPUTED_VALUE"""),"LAG 74")</f>
        <v>LAG 74</v>
      </c>
      <c r="D611" s="2">
        <f>IFERROR(__xludf.DUMMYFUNCTION("""COMPUTED_VALUE"""),15.0)</f>
        <v>15</v>
      </c>
      <c r="E611" s="2" t="str">
        <f>IFERROR(__xludf.DUMMYFUNCTION("""COMPUTED_VALUE"""),"Damelag")</f>
        <v>Damelag</v>
      </c>
    </row>
    <row r="612" ht="15.75" customHeight="1">
      <c r="A612" s="18">
        <f>IFERROR(__xludf.DUMMYFUNCTION("""COMPUTED_VALUE"""),45857.5779503125)</f>
        <v>45857.57795</v>
      </c>
      <c r="B612" s="2" t="str">
        <f>IFERROR(__xludf.DUMMYFUNCTION("""COMPUTED_VALUE"""),"Post 2")</f>
        <v>Post 2</v>
      </c>
      <c r="C612" s="2" t="str">
        <f>IFERROR(__xludf.DUMMYFUNCTION("""COMPUTED_VALUE"""),"LAG 9")</f>
        <v>LAG 9</v>
      </c>
      <c r="D612" s="2">
        <f>IFERROR(__xludf.DUMMYFUNCTION("""COMPUTED_VALUE"""),15.0)</f>
        <v>15</v>
      </c>
      <c r="E612" s="2" t="str">
        <f>IFERROR(__xludf.DUMMYFUNCTION("""COMPUTED_VALUE"""),"Herrelag")</f>
        <v>Herrelag</v>
      </c>
    </row>
    <row r="613" ht="15.75" customHeight="1">
      <c r="A613" s="18">
        <f>IFERROR(__xludf.DUMMYFUNCTION("""COMPUTED_VALUE"""),45857.57803040509)</f>
        <v>45857.57803</v>
      </c>
      <c r="B613" s="2" t="str">
        <f>IFERROR(__xludf.DUMMYFUNCTION("""COMPUTED_VALUE"""),"Post 15")</f>
        <v>Post 15</v>
      </c>
      <c r="C613" s="2" t="str">
        <f>IFERROR(__xludf.DUMMYFUNCTION("""COMPUTED_VALUE"""),"LAG 56")</f>
        <v>LAG 56</v>
      </c>
      <c r="D613" s="2">
        <f>IFERROR(__xludf.DUMMYFUNCTION("""COMPUTED_VALUE"""),20.0)</f>
        <v>20</v>
      </c>
      <c r="E613" s="2" t="str">
        <f>IFERROR(__xludf.DUMMYFUNCTION("""COMPUTED_VALUE"""),"Mixlag")</f>
        <v>Mixlag</v>
      </c>
    </row>
    <row r="614" ht="15.75" customHeight="1">
      <c r="A614" s="18">
        <f>IFERROR(__xludf.DUMMYFUNCTION("""COMPUTED_VALUE"""),45857.578136620374)</f>
        <v>45857.57814</v>
      </c>
      <c r="B614" s="2" t="str">
        <f>IFERROR(__xludf.DUMMYFUNCTION("""COMPUTED_VALUE"""),"Post 8")</f>
        <v>Post 8</v>
      </c>
      <c r="C614" s="2" t="str">
        <f>IFERROR(__xludf.DUMMYFUNCTION("""COMPUTED_VALUE"""),"LAG 49")</f>
        <v>LAG 49</v>
      </c>
      <c r="D614" s="2">
        <f>IFERROR(__xludf.DUMMYFUNCTION("""COMPUTED_VALUE"""),13.0)</f>
        <v>13</v>
      </c>
      <c r="E614" s="2" t="str">
        <f>IFERROR(__xludf.DUMMYFUNCTION("""COMPUTED_VALUE"""),"Damelag")</f>
        <v>Damelag</v>
      </c>
    </row>
    <row r="615" ht="15.75" customHeight="1">
      <c r="A615" s="18">
        <f>IFERROR(__xludf.DUMMYFUNCTION("""COMPUTED_VALUE"""),45857.578170821755)</f>
        <v>45857.57817</v>
      </c>
      <c r="B615" s="2" t="str">
        <f>IFERROR(__xludf.DUMMYFUNCTION("""COMPUTED_VALUE"""),"Post 22")</f>
        <v>Post 22</v>
      </c>
      <c r="C615" s="2" t="str">
        <f>IFERROR(__xludf.DUMMYFUNCTION("""COMPUTED_VALUE"""),"LAG 20")</f>
        <v>LAG 20</v>
      </c>
      <c r="D615" s="2">
        <f>IFERROR(__xludf.DUMMYFUNCTION("""COMPUTED_VALUE"""),20.0)</f>
        <v>20</v>
      </c>
      <c r="E615" s="2" t="str">
        <f>IFERROR(__xludf.DUMMYFUNCTION("""COMPUTED_VALUE"""),"Mixlag")</f>
        <v>Mixlag</v>
      </c>
    </row>
    <row r="616" ht="15.75" customHeight="1">
      <c r="A616" s="18">
        <f>IFERROR(__xludf.DUMMYFUNCTION("""COMPUTED_VALUE"""),45857.57820175926)</f>
        <v>45857.5782</v>
      </c>
      <c r="B616" s="2" t="str">
        <f>IFERROR(__xludf.DUMMYFUNCTION("""COMPUTED_VALUE"""),"Post 1")</f>
        <v>Post 1</v>
      </c>
      <c r="C616" s="2" t="str">
        <f>IFERROR(__xludf.DUMMYFUNCTION("""COMPUTED_VALUE"""),"LAG 62")</f>
        <v>LAG 62</v>
      </c>
      <c r="D616" s="2">
        <f>IFERROR(__xludf.DUMMYFUNCTION("""COMPUTED_VALUE"""),14.0)</f>
        <v>14</v>
      </c>
      <c r="E616" s="2" t="str">
        <f>IFERROR(__xludf.DUMMYFUNCTION("""COMPUTED_VALUE"""),"Mixlag")</f>
        <v>Mixlag</v>
      </c>
    </row>
    <row r="617" ht="15.75" customHeight="1">
      <c r="A617" s="18">
        <f>IFERROR(__xludf.DUMMYFUNCTION("""COMPUTED_VALUE"""),45857.57830349537)</f>
        <v>45857.5783</v>
      </c>
      <c r="B617" s="2" t="str">
        <f>IFERROR(__xludf.DUMMYFUNCTION("""COMPUTED_VALUE"""),"Post 10")</f>
        <v>Post 10</v>
      </c>
      <c r="C617" s="2" t="str">
        <f>IFERROR(__xludf.DUMMYFUNCTION("""COMPUTED_VALUE"""),"LAG 21")</f>
        <v>LAG 21</v>
      </c>
      <c r="D617" s="2">
        <f>IFERROR(__xludf.DUMMYFUNCTION("""COMPUTED_VALUE"""),15.0)</f>
        <v>15</v>
      </c>
      <c r="E617" s="2" t="str">
        <f>IFERROR(__xludf.DUMMYFUNCTION("""COMPUTED_VALUE"""),"Damelag")</f>
        <v>Damelag</v>
      </c>
    </row>
    <row r="618" ht="15.75" customHeight="1">
      <c r="A618" s="18">
        <f>IFERROR(__xludf.DUMMYFUNCTION("""COMPUTED_VALUE"""),45857.57833049769)</f>
        <v>45857.57833</v>
      </c>
      <c r="B618" s="2" t="str">
        <f>IFERROR(__xludf.DUMMYFUNCTION("""COMPUTED_VALUE"""),"Post 18")</f>
        <v>Post 18</v>
      </c>
      <c r="C618" s="2" t="str">
        <f>IFERROR(__xludf.DUMMYFUNCTION("""COMPUTED_VALUE"""),"LAG 19")</f>
        <v>LAG 19</v>
      </c>
      <c r="D618" s="2">
        <f>IFERROR(__xludf.DUMMYFUNCTION("""COMPUTED_VALUE"""),14.0)</f>
        <v>14</v>
      </c>
      <c r="E618" s="2" t="str">
        <f>IFERROR(__xludf.DUMMYFUNCTION("""COMPUTED_VALUE"""),"Herrelag")</f>
        <v>Herrelag</v>
      </c>
    </row>
    <row r="619" ht="15.75" customHeight="1">
      <c r="A619" s="18">
        <f>IFERROR(__xludf.DUMMYFUNCTION("""COMPUTED_VALUE"""),45857.57833104167)</f>
        <v>45857.57833</v>
      </c>
      <c r="B619" s="2" t="str">
        <f>IFERROR(__xludf.DUMMYFUNCTION("""COMPUTED_VALUE"""),"Post 20")</f>
        <v>Post 20</v>
      </c>
      <c r="C619" s="2" t="str">
        <f>IFERROR(__xludf.DUMMYFUNCTION("""COMPUTED_VALUE"""),"LAG 19")</f>
        <v>LAG 19</v>
      </c>
      <c r="D619" s="2">
        <f>IFERROR(__xludf.DUMMYFUNCTION("""COMPUTED_VALUE"""),5.0)</f>
        <v>5</v>
      </c>
      <c r="E619" s="2" t="str">
        <f>IFERROR(__xludf.DUMMYFUNCTION("""COMPUTED_VALUE"""),"Herrelag")</f>
        <v>Herrelag</v>
      </c>
    </row>
    <row r="620" ht="15.75" customHeight="1">
      <c r="A620" s="18">
        <f>IFERROR(__xludf.DUMMYFUNCTION("""COMPUTED_VALUE"""),45857.57859363426)</f>
        <v>45857.57859</v>
      </c>
      <c r="B620" s="2" t="str">
        <f>IFERROR(__xludf.DUMMYFUNCTION("""COMPUTED_VALUE"""),"Post 1")</f>
        <v>Post 1</v>
      </c>
      <c r="C620" s="2" t="str">
        <f>IFERROR(__xludf.DUMMYFUNCTION("""COMPUTED_VALUE"""),"LAG 41")</f>
        <v>LAG 41</v>
      </c>
      <c r="D620" s="2">
        <f>IFERROR(__xludf.DUMMYFUNCTION("""COMPUTED_VALUE"""),18.0)</f>
        <v>18</v>
      </c>
      <c r="E620" s="2" t="str">
        <f>IFERROR(__xludf.DUMMYFUNCTION("""COMPUTED_VALUE"""),"Mixlag")</f>
        <v>Mixlag</v>
      </c>
    </row>
    <row r="621" ht="15.75" customHeight="1">
      <c r="A621" s="18">
        <f>IFERROR(__xludf.DUMMYFUNCTION("""COMPUTED_VALUE"""),45857.57860998843)</f>
        <v>45857.57861</v>
      </c>
      <c r="B621" s="2" t="str">
        <f>IFERROR(__xludf.DUMMYFUNCTION("""COMPUTED_VALUE"""),"Post 12")</f>
        <v>Post 12</v>
      </c>
      <c r="C621" s="2" t="str">
        <f>IFERROR(__xludf.DUMMYFUNCTION("""COMPUTED_VALUE"""),"LAG 7")</f>
        <v>LAG 7</v>
      </c>
      <c r="D621" s="2">
        <f>IFERROR(__xludf.DUMMYFUNCTION("""COMPUTED_VALUE"""),17.0)</f>
        <v>17</v>
      </c>
      <c r="E621" s="2" t="str">
        <f>IFERROR(__xludf.DUMMYFUNCTION("""COMPUTED_VALUE"""),"Mixlag")</f>
        <v>Mixlag</v>
      </c>
    </row>
    <row r="622" ht="15.75" customHeight="1">
      <c r="A622" s="18">
        <f>IFERROR(__xludf.DUMMYFUNCTION("""COMPUTED_VALUE"""),45857.57862364584)</f>
        <v>45857.57862</v>
      </c>
      <c r="B622" s="2" t="str">
        <f>IFERROR(__xludf.DUMMYFUNCTION("""COMPUTED_VALUE"""),"Post 22")</f>
        <v>Post 22</v>
      </c>
      <c r="C622" s="2" t="str">
        <f>IFERROR(__xludf.DUMMYFUNCTION("""COMPUTED_VALUE"""),"LAG 73")</f>
        <v>LAG 73</v>
      </c>
      <c r="D622" s="2">
        <f>IFERROR(__xludf.DUMMYFUNCTION("""COMPUTED_VALUE"""),10.0)</f>
        <v>10</v>
      </c>
      <c r="E622" s="2" t="str">
        <f>IFERROR(__xludf.DUMMYFUNCTION("""COMPUTED_VALUE"""),"Herrelag")</f>
        <v>Herrelag</v>
      </c>
    </row>
    <row r="623" ht="15.75" customHeight="1">
      <c r="A623" s="18">
        <f>IFERROR(__xludf.DUMMYFUNCTION("""COMPUTED_VALUE"""),45857.57875046296)</f>
        <v>45857.57875</v>
      </c>
      <c r="B623" s="2" t="str">
        <f>IFERROR(__xludf.DUMMYFUNCTION("""COMPUTED_VALUE"""),"Post 22")</f>
        <v>Post 22</v>
      </c>
      <c r="C623" s="2" t="str">
        <f>IFERROR(__xludf.DUMMYFUNCTION("""COMPUTED_VALUE"""),"LAG 5")</f>
        <v>LAG 5</v>
      </c>
      <c r="D623" s="2">
        <f>IFERROR(__xludf.DUMMYFUNCTION("""COMPUTED_VALUE"""),20.0)</f>
        <v>20</v>
      </c>
      <c r="E623" s="2" t="str">
        <f>IFERROR(__xludf.DUMMYFUNCTION("""COMPUTED_VALUE"""),"Mixlag")</f>
        <v>Mixlag</v>
      </c>
    </row>
    <row r="624" ht="15.75" customHeight="1">
      <c r="A624" s="18">
        <f>IFERROR(__xludf.DUMMYFUNCTION("""COMPUTED_VALUE"""),45857.57885947917)</f>
        <v>45857.57886</v>
      </c>
      <c r="B624" s="2" t="str">
        <f>IFERROR(__xludf.DUMMYFUNCTION("""COMPUTED_VALUE"""),"Post 2")</f>
        <v>Post 2</v>
      </c>
      <c r="C624" s="2" t="str">
        <f>IFERROR(__xludf.DUMMYFUNCTION("""COMPUTED_VALUE"""),"LAG 3")</f>
        <v>LAG 3</v>
      </c>
      <c r="D624" s="2">
        <f>IFERROR(__xludf.DUMMYFUNCTION("""COMPUTED_VALUE"""),15.0)</f>
        <v>15</v>
      </c>
      <c r="E624" s="2" t="str">
        <f>IFERROR(__xludf.DUMMYFUNCTION("""COMPUTED_VALUE"""),"Damelag")</f>
        <v>Damelag</v>
      </c>
    </row>
    <row r="625" ht="15.75" customHeight="1">
      <c r="A625" s="18">
        <f>IFERROR(__xludf.DUMMYFUNCTION("""COMPUTED_VALUE"""),45857.57896849537)</f>
        <v>45857.57897</v>
      </c>
      <c r="B625" s="2" t="str">
        <f>IFERROR(__xludf.DUMMYFUNCTION("""COMPUTED_VALUE"""),"Post 22")</f>
        <v>Post 22</v>
      </c>
      <c r="C625" s="2" t="str">
        <f>IFERROR(__xludf.DUMMYFUNCTION("""COMPUTED_VALUE"""),"LAG 10")</f>
        <v>LAG 10</v>
      </c>
      <c r="D625" s="2">
        <f>IFERROR(__xludf.DUMMYFUNCTION("""COMPUTED_VALUE"""),20.0)</f>
        <v>20</v>
      </c>
      <c r="E625" s="2" t="str">
        <f>IFERROR(__xludf.DUMMYFUNCTION("""COMPUTED_VALUE"""),"Herrelag")</f>
        <v>Herrelag</v>
      </c>
    </row>
    <row r="626" ht="15.75" customHeight="1">
      <c r="A626" s="18">
        <f>IFERROR(__xludf.DUMMYFUNCTION("""COMPUTED_VALUE"""),45857.57909216435)</f>
        <v>45857.57909</v>
      </c>
      <c r="B626" s="2" t="str">
        <f>IFERROR(__xludf.DUMMYFUNCTION("""COMPUTED_VALUE"""),"Post 20")</f>
        <v>Post 20</v>
      </c>
      <c r="C626" s="2" t="str">
        <f>IFERROR(__xludf.DUMMYFUNCTION("""COMPUTED_VALUE"""),"LAG 50")</f>
        <v>LAG 50</v>
      </c>
      <c r="D626" s="2">
        <f>IFERROR(__xludf.DUMMYFUNCTION("""COMPUTED_VALUE"""),20.0)</f>
        <v>20</v>
      </c>
      <c r="E626" s="2" t="str">
        <f>IFERROR(__xludf.DUMMYFUNCTION("""COMPUTED_VALUE"""),"Herrelag")</f>
        <v>Herrelag</v>
      </c>
    </row>
    <row r="627" ht="15.75" customHeight="1">
      <c r="A627" s="18">
        <f>IFERROR(__xludf.DUMMYFUNCTION("""COMPUTED_VALUE"""),45857.57915662037)</f>
        <v>45857.57916</v>
      </c>
      <c r="B627" s="2" t="str">
        <f>IFERROR(__xludf.DUMMYFUNCTION("""COMPUTED_VALUE"""),"Post 13")</f>
        <v>Post 13</v>
      </c>
      <c r="C627" s="2" t="str">
        <f>IFERROR(__xludf.DUMMYFUNCTION("""COMPUTED_VALUE"""),"LAG 18")</f>
        <v>LAG 18</v>
      </c>
      <c r="D627" s="2">
        <f>IFERROR(__xludf.DUMMYFUNCTION("""COMPUTED_VALUE"""),20.0)</f>
        <v>20</v>
      </c>
      <c r="E627" s="2" t="str">
        <f>IFERROR(__xludf.DUMMYFUNCTION("""COMPUTED_VALUE"""),"Damelag")</f>
        <v>Damelag</v>
      </c>
    </row>
    <row r="628" ht="15.75" customHeight="1">
      <c r="A628" s="18">
        <f>IFERROR(__xludf.DUMMYFUNCTION("""COMPUTED_VALUE"""),45857.57930048611)</f>
        <v>45857.5793</v>
      </c>
      <c r="B628" s="2" t="str">
        <f>IFERROR(__xludf.DUMMYFUNCTION("""COMPUTED_VALUE"""),"Post 18")</f>
        <v>Post 18</v>
      </c>
      <c r="C628" s="2" t="str">
        <f>IFERROR(__xludf.DUMMYFUNCTION("""COMPUTED_VALUE"""),"LAG 18")</f>
        <v>LAG 18</v>
      </c>
      <c r="D628" s="2">
        <f>IFERROR(__xludf.DUMMYFUNCTION("""COMPUTED_VALUE"""),12.0)</f>
        <v>12</v>
      </c>
      <c r="E628" s="2" t="str">
        <f>IFERROR(__xludf.DUMMYFUNCTION("""COMPUTED_VALUE"""),"Damelag")</f>
        <v>Damelag</v>
      </c>
    </row>
    <row r="629" ht="15.75" customHeight="1">
      <c r="A629" s="18">
        <f>IFERROR(__xludf.DUMMYFUNCTION("""COMPUTED_VALUE"""),45857.57933493056)</f>
        <v>45857.57933</v>
      </c>
      <c r="B629" s="2" t="str">
        <f>IFERROR(__xludf.DUMMYFUNCTION("""COMPUTED_VALUE"""),"Post 22")</f>
        <v>Post 22</v>
      </c>
      <c r="C629" s="2" t="str">
        <f>IFERROR(__xludf.DUMMYFUNCTION("""COMPUTED_VALUE"""),"LAG 54")</f>
        <v>LAG 54</v>
      </c>
      <c r="D629" s="2">
        <f>IFERROR(__xludf.DUMMYFUNCTION("""COMPUTED_VALUE"""),20.0)</f>
        <v>20</v>
      </c>
      <c r="E629" s="2" t="str">
        <f>IFERROR(__xludf.DUMMYFUNCTION("""COMPUTED_VALUE"""),"Damelag")</f>
        <v>Damelag</v>
      </c>
    </row>
    <row r="630" ht="15.75" customHeight="1">
      <c r="A630" s="18">
        <f>IFERROR(__xludf.DUMMYFUNCTION("""COMPUTED_VALUE"""),45857.579427662036)</f>
        <v>45857.57943</v>
      </c>
      <c r="B630" s="2" t="str">
        <f>IFERROR(__xludf.DUMMYFUNCTION("""COMPUTED_VALUE"""),"Post 15")</f>
        <v>Post 15</v>
      </c>
      <c r="C630" s="2" t="str">
        <f>IFERROR(__xludf.DUMMYFUNCTION("""COMPUTED_VALUE"""),"LAG 21")</f>
        <v>LAG 21</v>
      </c>
      <c r="D630" s="2">
        <f>IFERROR(__xludf.DUMMYFUNCTION("""COMPUTED_VALUE"""),15.0)</f>
        <v>15</v>
      </c>
      <c r="E630" s="2" t="str">
        <f>IFERROR(__xludf.DUMMYFUNCTION("""COMPUTED_VALUE"""),"Damelag")</f>
        <v>Damelag</v>
      </c>
    </row>
    <row r="631" ht="15.75" customHeight="1">
      <c r="A631" s="18">
        <f>IFERROR(__xludf.DUMMYFUNCTION("""COMPUTED_VALUE"""),45857.57943814815)</f>
        <v>45857.57944</v>
      </c>
      <c r="B631" s="2" t="str">
        <f>IFERROR(__xludf.DUMMYFUNCTION("""COMPUTED_VALUE"""),"Post 9")</f>
        <v>Post 9</v>
      </c>
      <c r="C631" s="2" t="str">
        <f>IFERROR(__xludf.DUMMYFUNCTION("""COMPUTED_VALUE"""),"LAG 8")</f>
        <v>LAG 8</v>
      </c>
      <c r="D631" s="2">
        <f>IFERROR(__xludf.DUMMYFUNCTION("""COMPUTED_VALUE"""),24.0)</f>
        <v>24</v>
      </c>
      <c r="E631" s="2" t="str">
        <f>IFERROR(__xludf.DUMMYFUNCTION("""COMPUTED_VALUE"""),"Herrelag")</f>
        <v>Herrelag</v>
      </c>
    </row>
    <row r="632" ht="15.75" customHeight="1">
      <c r="A632" s="18">
        <f>IFERROR(__xludf.DUMMYFUNCTION("""COMPUTED_VALUE"""),45857.57952034722)</f>
        <v>45857.57952</v>
      </c>
      <c r="B632" s="2" t="str">
        <f>IFERROR(__xludf.DUMMYFUNCTION("""COMPUTED_VALUE"""),"Post 20")</f>
        <v>Post 20</v>
      </c>
      <c r="C632" s="2" t="str">
        <f>IFERROR(__xludf.DUMMYFUNCTION("""COMPUTED_VALUE"""),"LAG 25")</f>
        <v>LAG 25</v>
      </c>
      <c r="D632" s="2">
        <f>IFERROR(__xludf.DUMMYFUNCTION("""COMPUTED_VALUE"""),30.0)</f>
        <v>30</v>
      </c>
      <c r="E632" s="2" t="str">
        <f>IFERROR(__xludf.DUMMYFUNCTION("""COMPUTED_VALUE"""),"Herrelag")</f>
        <v>Herrelag</v>
      </c>
    </row>
    <row r="633" ht="15.75" customHeight="1">
      <c r="A633" s="18">
        <f>IFERROR(__xludf.DUMMYFUNCTION("""COMPUTED_VALUE"""),45857.5795487963)</f>
        <v>45857.57955</v>
      </c>
      <c r="B633" s="2" t="str">
        <f>IFERROR(__xludf.DUMMYFUNCTION("""COMPUTED_VALUE"""),"Post 18")</f>
        <v>Post 18</v>
      </c>
      <c r="C633" s="2" t="str">
        <f>IFERROR(__xludf.DUMMYFUNCTION("""COMPUTED_VALUE"""),"LAG 47")</f>
        <v>LAG 47</v>
      </c>
      <c r="D633" s="2">
        <f>IFERROR(__xludf.DUMMYFUNCTION("""COMPUTED_VALUE"""),8.0)</f>
        <v>8</v>
      </c>
      <c r="E633" s="2" t="str">
        <f>IFERROR(__xludf.DUMMYFUNCTION("""COMPUTED_VALUE"""),"Mixlag")</f>
        <v>Mixlag</v>
      </c>
    </row>
    <row r="634" ht="15.75" customHeight="1">
      <c r="A634" s="18">
        <f>IFERROR(__xludf.DUMMYFUNCTION("""COMPUTED_VALUE"""),45857.57955571759)</f>
        <v>45857.57956</v>
      </c>
      <c r="B634" s="2" t="str">
        <f>IFERROR(__xludf.DUMMYFUNCTION("""COMPUTED_VALUE"""),"Post 22")</f>
        <v>Post 22</v>
      </c>
      <c r="C634" s="2" t="str">
        <f>IFERROR(__xludf.DUMMYFUNCTION("""COMPUTED_VALUE"""),"LAG 13")</f>
        <v>LAG 13</v>
      </c>
      <c r="D634" s="2">
        <f>IFERROR(__xludf.DUMMYFUNCTION("""COMPUTED_VALUE"""),10.0)</f>
        <v>10</v>
      </c>
      <c r="E634" s="2" t="str">
        <f>IFERROR(__xludf.DUMMYFUNCTION("""COMPUTED_VALUE"""),"Herrelag")</f>
        <v>Herrelag</v>
      </c>
    </row>
    <row r="635" ht="15.75" customHeight="1">
      <c r="A635" s="18">
        <f>IFERROR(__xludf.DUMMYFUNCTION("""COMPUTED_VALUE"""),45857.57981033565)</f>
        <v>45857.57981</v>
      </c>
      <c r="B635" s="2" t="str">
        <f>IFERROR(__xludf.DUMMYFUNCTION("""COMPUTED_VALUE"""),"Post 20")</f>
        <v>Post 20</v>
      </c>
      <c r="C635" s="2" t="str">
        <f>IFERROR(__xludf.DUMMYFUNCTION("""COMPUTED_VALUE"""),"LAG 81")</f>
        <v>LAG 81</v>
      </c>
      <c r="D635" s="2">
        <f>IFERROR(__xludf.DUMMYFUNCTION("""COMPUTED_VALUE"""),20.0)</f>
        <v>20</v>
      </c>
      <c r="E635" s="2" t="str">
        <f>IFERROR(__xludf.DUMMYFUNCTION("""COMPUTED_VALUE"""),"Herrelag")</f>
        <v>Herrelag</v>
      </c>
    </row>
    <row r="636" ht="15.75" customHeight="1">
      <c r="A636" s="18">
        <f>IFERROR(__xludf.DUMMYFUNCTION("""COMPUTED_VALUE"""),45857.579845555556)</f>
        <v>45857.57985</v>
      </c>
      <c r="B636" s="2" t="str">
        <f>IFERROR(__xludf.DUMMYFUNCTION("""COMPUTED_VALUE"""),"Post 22")</f>
        <v>Post 22</v>
      </c>
      <c r="C636" s="2" t="str">
        <f>IFERROR(__xludf.DUMMYFUNCTION("""COMPUTED_VALUE"""),"LAG 15")</f>
        <v>LAG 15</v>
      </c>
      <c r="D636" s="2">
        <f>IFERROR(__xludf.DUMMYFUNCTION("""COMPUTED_VALUE"""),20.0)</f>
        <v>20</v>
      </c>
      <c r="E636" s="2" t="str">
        <f>IFERROR(__xludf.DUMMYFUNCTION("""COMPUTED_VALUE"""),"Herrelag")</f>
        <v>Herrelag</v>
      </c>
    </row>
    <row r="637" ht="15.75" customHeight="1">
      <c r="A637" s="18">
        <f>IFERROR(__xludf.DUMMYFUNCTION("""COMPUTED_VALUE"""),45857.57990415509)</f>
        <v>45857.5799</v>
      </c>
      <c r="B637" s="2" t="str">
        <f>IFERROR(__xludf.DUMMYFUNCTION("""COMPUTED_VALUE"""),"Post 8")</f>
        <v>Post 8</v>
      </c>
      <c r="C637" s="2" t="str">
        <f>IFERROR(__xludf.DUMMYFUNCTION("""COMPUTED_VALUE"""),"LAG 34")</f>
        <v>LAG 34</v>
      </c>
      <c r="D637" s="2">
        <f>IFERROR(__xludf.DUMMYFUNCTION("""COMPUTED_VALUE"""),12.0)</f>
        <v>12</v>
      </c>
      <c r="E637" s="2" t="str">
        <f>IFERROR(__xludf.DUMMYFUNCTION("""COMPUTED_VALUE"""),"Damelag")</f>
        <v>Damelag</v>
      </c>
    </row>
    <row r="638" ht="15.75" customHeight="1">
      <c r="A638" s="18">
        <f>IFERROR(__xludf.DUMMYFUNCTION("""COMPUTED_VALUE"""),45857.579975138884)</f>
        <v>45857.57998</v>
      </c>
      <c r="B638" s="2" t="str">
        <f>IFERROR(__xludf.DUMMYFUNCTION("""COMPUTED_VALUE"""),"Post 6")</f>
        <v>Post 6</v>
      </c>
      <c r="C638" s="2" t="str">
        <f>IFERROR(__xludf.DUMMYFUNCTION("""COMPUTED_VALUE"""),"LAG 35")</f>
        <v>LAG 35</v>
      </c>
      <c r="D638" s="2">
        <f>IFERROR(__xludf.DUMMYFUNCTION("""COMPUTED_VALUE"""),16.0)</f>
        <v>16</v>
      </c>
      <c r="E638" s="2" t="str">
        <f>IFERROR(__xludf.DUMMYFUNCTION("""COMPUTED_VALUE"""),"Damelag")</f>
        <v>Damelag</v>
      </c>
    </row>
    <row r="639" ht="15.75" customHeight="1">
      <c r="A639" s="18">
        <f>IFERROR(__xludf.DUMMYFUNCTION("""COMPUTED_VALUE"""),45857.58006861111)</f>
        <v>45857.58007</v>
      </c>
      <c r="B639" s="2" t="str">
        <f>IFERROR(__xludf.DUMMYFUNCTION("""COMPUTED_VALUE"""),"Post 22")</f>
        <v>Post 22</v>
      </c>
      <c r="C639" s="2" t="str">
        <f>IFERROR(__xludf.DUMMYFUNCTION("""COMPUTED_VALUE"""),"LAG 24")</f>
        <v>LAG 24</v>
      </c>
      <c r="D639" s="2">
        <f>IFERROR(__xludf.DUMMYFUNCTION("""COMPUTED_VALUE"""),20.0)</f>
        <v>20</v>
      </c>
      <c r="E639" s="2" t="str">
        <f>IFERROR(__xludf.DUMMYFUNCTION("""COMPUTED_VALUE"""),"Herrelag")</f>
        <v>Herrelag</v>
      </c>
    </row>
    <row r="640" ht="15.75" customHeight="1">
      <c r="A640" s="18">
        <f>IFERROR(__xludf.DUMMYFUNCTION("""COMPUTED_VALUE"""),45857.580160937505)</f>
        <v>45857.58016</v>
      </c>
      <c r="B640" s="2" t="str">
        <f>IFERROR(__xludf.DUMMYFUNCTION("""COMPUTED_VALUE"""),"Post 2")</f>
        <v>Post 2</v>
      </c>
      <c r="C640" s="2" t="str">
        <f>IFERROR(__xludf.DUMMYFUNCTION("""COMPUTED_VALUE"""),"LAG 68")</f>
        <v>LAG 68</v>
      </c>
      <c r="D640" s="2">
        <f>IFERROR(__xludf.DUMMYFUNCTION("""COMPUTED_VALUE"""),15.0)</f>
        <v>15</v>
      </c>
      <c r="E640" s="2" t="str">
        <f>IFERROR(__xludf.DUMMYFUNCTION("""COMPUTED_VALUE"""),"Herrelag")</f>
        <v>Herrelag</v>
      </c>
    </row>
    <row r="641" ht="15.75" customHeight="1">
      <c r="A641" s="18">
        <f>IFERROR(__xludf.DUMMYFUNCTION("""COMPUTED_VALUE"""),45857.58021484954)</f>
        <v>45857.58021</v>
      </c>
      <c r="B641" s="2" t="str">
        <f>IFERROR(__xludf.DUMMYFUNCTION("""COMPUTED_VALUE"""),"Post 22")</f>
        <v>Post 22</v>
      </c>
      <c r="C641" s="2" t="str">
        <f>IFERROR(__xludf.DUMMYFUNCTION("""COMPUTED_VALUE"""),"LAG 19")</f>
        <v>LAG 19</v>
      </c>
      <c r="D641" s="2">
        <f>IFERROR(__xludf.DUMMYFUNCTION("""COMPUTED_VALUE"""),10.0)</f>
        <v>10</v>
      </c>
      <c r="E641" s="2" t="str">
        <f>IFERROR(__xludf.DUMMYFUNCTION("""COMPUTED_VALUE"""),"Herrelag")</f>
        <v>Herrelag</v>
      </c>
    </row>
    <row r="642" ht="15.75" customHeight="1">
      <c r="A642" s="18">
        <f>IFERROR(__xludf.DUMMYFUNCTION("""COMPUTED_VALUE"""),45857.58029370371)</f>
        <v>45857.58029</v>
      </c>
      <c r="B642" s="2" t="str">
        <f>IFERROR(__xludf.DUMMYFUNCTION("""COMPUTED_VALUE"""),"Post 20")</f>
        <v>Post 20</v>
      </c>
      <c r="C642" s="2" t="str">
        <f>IFERROR(__xludf.DUMMYFUNCTION("""COMPUTED_VALUE"""),"LAG 18")</f>
        <v>LAG 18</v>
      </c>
      <c r="D642" s="2">
        <f>IFERROR(__xludf.DUMMYFUNCTION("""COMPUTED_VALUE"""),5.0)</f>
        <v>5</v>
      </c>
      <c r="E642" s="2" t="str">
        <f>IFERROR(__xludf.DUMMYFUNCTION("""COMPUTED_VALUE"""),"Damelag")</f>
        <v>Damelag</v>
      </c>
    </row>
    <row r="643" ht="15.75" customHeight="1">
      <c r="A643" s="18">
        <f>IFERROR(__xludf.DUMMYFUNCTION("""COMPUTED_VALUE"""),45857.5803925)</f>
        <v>45857.58039</v>
      </c>
      <c r="B643" s="2" t="str">
        <f>IFERROR(__xludf.DUMMYFUNCTION("""COMPUTED_VALUE"""),"Post 22")</f>
        <v>Post 22</v>
      </c>
      <c r="C643" s="2" t="str">
        <f>IFERROR(__xludf.DUMMYFUNCTION("""COMPUTED_VALUE"""),"LAG 20")</f>
        <v>LAG 20</v>
      </c>
      <c r="D643" s="2">
        <f>IFERROR(__xludf.DUMMYFUNCTION("""COMPUTED_VALUE"""),10.0)</f>
        <v>10</v>
      </c>
      <c r="E643" s="2" t="str">
        <f>IFERROR(__xludf.DUMMYFUNCTION("""COMPUTED_VALUE"""),"Damelag")</f>
        <v>Damelag</v>
      </c>
    </row>
    <row r="644" ht="15.75" customHeight="1">
      <c r="A644" s="18">
        <f>IFERROR(__xludf.DUMMYFUNCTION("""COMPUTED_VALUE"""),45857.580742199076)</f>
        <v>45857.58074</v>
      </c>
      <c r="B644" s="2" t="str">
        <f>IFERROR(__xludf.DUMMYFUNCTION("""COMPUTED_VALUE"""),"Post 2")</f>
        <v>Post 2</v>
      </c>
      <c r="C644" s="2" t="str">
        <f>IFERROR(__xludf.DUMMYFUNCTION("""COMPUTED_VALUE"""),"LAG 62")</f>
        <v>LAG 62</v>
      </c>
      <c r="D644" s="2">
        <f>IFERROR(__xludf.DUMMYFUNCTION("""COMPUTED_VALUE"""),15.0)</f>
        <v>15</v>
      </c>
      <c r="E644" s="2" t="str">
        <f>IFERROR(__xludf.DUMMYFUNCTION("""COMPUTED_VALUE"""),"Mixlag")</f>
        <v>Mixlag</v>
      </c>
    </row>
    <row r="645" ht="15.75" customHeight="1">
      <c r="A645" s="18">
        <f>IFERROR(__xludf.DUMMYFUNCTION("""COMPUTED_VALUE"""),45857.58093600694)</f>
        <v>45857.58094</v>
      </c>
      <c r="B645" s="2" t="str">
        <f>IFERROR(__xludf.DUMMYFUNCTION("""COMPUTED_VALUE"""),"Post 12")</f>
        <v>Post 12</v>
      </c>
      <c r="C645" s="2" t="str">
        <f>IFERROR(__xludf.DUMMYFUNCTION("""COMPUTED_VALUE"""),"LAG 13")</f>
        <v>LAG 13</v>
      </c>
      <c r="D645" s="2">
        <f>IFERROR(__xludf.DUMMYFUNCTION("""COMPUTED_VALUE"""),10.0)</f>
        <v>10</v>
      </c>
      <c r="E645" s="2" t="str">
        <f>IFERROR(__xludf.DUMMYFUNCTION("""COMPUTED_VALUE"""),"Herrelag")</f>
        <v>Herrelag</v>
      </c>
    </row>
    <row r="646" ht="15.75" customHeight="1">
      <c r="A646" s="18">
        <f>IFERROR(__xludf.DUMMYFUNCTION("""COMPUTED_VALUE"""),45857.58109417824)</f>
        <v>45857.58109</v>
      </c>
      <c r="B646" s="2" t="str">
        <f>IFERROR(__xludf.DUMMYFUNCTION("""COMPUTED_VALUE"""),"Post 15")</f>
        <v>Post 15</v>
      </c>
      <c r="C646" s="2" t="str">
        <f>IFERROR(__xludf.DUMMYFUNCTION("""COMPUTED_VALUE"""),"LAG 81")</f>
        <v>LAG 81</v>
      </c>
      <c r="D646" s="2">
        <f>IFERROR(__xludf.DUMMYFUNCTION("""COMPUTED_VALUE"""),20.0)</f>
        <v>20</v>
      </c>
      <c r="E646" s="2" t="str">
        <f>IFERROR(__xludf.DUMMYFUNCTION("""COMPUTED_VALUE"""),"Herrelag")</f>
        <v>Herrelag</v>
      </c>
    </row>
    <row r="647" ht="15.75" customHeight="1">
      <c r="A647" s="18">
        <f>IFERROR(__xludf.DUMMYFUNCTION("""COMPUTED_VALUE"""),45857.58117986111)</f>
        <v>45857.58118</v>
      </c>
      <c r="B647" s="2" t="str">
        <f>IFERROR(__xludf.DUMMYFUNCTION("""COMPUTED_VALUE"""),"Post 2")</f>
        <v>Post 2</v>
      </c>
      <c r="C647" s="2" t="str">
        <f>IFERROR(__xludf.DUMMYFUNCTION("""COMPUTED_VALUE"""),"LAG 20")</f>
        <v>LAG 20</v>
      </c>
      <c r="D647" s="2">
        <f>IFERROR(__xludf.DUMMYFUNCTION("""COMPUTED_VALUE"""),15.0)</f>
        <v>15</v>
      </c>
      <c r="E647" s="2" t="str">
        <f>IFERROR(__xludf.DUMMYFUNCTION("""COMPUTED_VALUE"""),"Damelag")</f>
        <v>Damelag</v>
      </c>
    </row>
    <row r="648" ht="15.75" customHeight="1">
      <c r="A648" s="18">
        <f>IFERROR(__xludf.DUMMYFUNCTION("""COMPUTED_VALUE"""),45857.5812909375)</f>
        <v>45857.58129</v>
      </c>
      <c r="B648" s="2" t="str">
        <f>IFERROR(__xludf.DUMMYFUNCTION("""COMPUTED_VALUE"""),"Post 10")</f>
        <v>Post 10</v>
      </c>
      <c r="C648" s="2" t="str">
        <f>IFERROR(__xludf.DUMMYFUNCTION("""COMPUTED_VALUE"""),"LAG 66")</f>
        <v>LAG 66</v>
      </c>
      <c r="D648" s="2">
        <f>IFERROR(__xludf.DUMMYFUNCTION("""COMPUTED_VALUE"""),15.0)</f>
        <v>15</v>
      </c>
      <c r="E648" s="2" t="str">
        <f>IFERROR(__xludf.DUMMYFUNCTION("""COMPUTED_VALUE"""),"Damelag")</f>
        <v>Damelag</v>
      </c>
    </row>
    <row r="649" ht="15.75" customHeight="1">
      <c r="A649" s="18">
        <f>IFERROR(__xludf.DUMMYFUNCTION("""COMPUTED_VALUE"""),45857.58208467593)</f>
        <v>45857.58208</v>
      </c>
      <c r="B649" s="2" t="str">
        <f>IFERROR(__xludf.DUMMYFUNCTION("""COMPUTED_VALUE"""),"Post 13")</f>
        <v>Post 13</v>
      </c>
      <c r="C649" s="2" t="str">
        <f>IFERROR(__xludf.DUMMYFUNCTION("""COMPUTED_VALUE"""),"LAG 14")</f>
        <v>LAG 14</v>
      </c>
      <c r="D649" s="2">
        <f>IFERROR(__xludf.DUMMYFUNCTION("""COMPUTED_VALUE"""),20.0)</f>
        <v>20</v>
      </c>
      <c r="E649" s="2" t="str">
        <f>IFERROR(__xludf.DUMMYFUNCTION("""COMPUTED_VALUE"""),"Mixlag")</f>
        <v>Mixlag</v>
      </c>
    </row>
    <row r="650" ht="15.75" customHeight="1">
      <c r="A650" s="18">
        <f>IFERROR(__xludf.DUMMYFUNCTION("""COMPUTED_VALUE"""),45857.58209858796)</f>
        <v>45857.5821</v>
      </c>
      <c r="B650" s="2" t="str">
        <f>IFERROR(__xludf.DUMMYFUNCTION("""COMPUTED_VALUE"""),"Post 18")</f>
        <v>Post 18</v>
      </c>
      <c r="C650" s="2" t="str">
        <f>IFERROR(__xludf.DUMMYFUNCTION("""COMPUTED_VALUE"""),"LAG 82")</f>
        <v>LAG 82</v>
      </c>
      <c r="D650" s="2">
        <f>IFERROR(__xludf.DUMMYFUNCTION("""COMPUTED_VALUE"""),8.0)</f>
        <v>8</v>
      </c>
      <c r="E650" s="2" t="str">
        <f>IFERROR(__xludf.DUMMYFUNCTION("""COMPUTED_VALUE"""),"Mixlag")</f>
        <v>Mixlag</v>
      </c>
    </row>
    <row r="651" ht="15.75" customHeight="1">
      <c r="A651" s="18">
        <f>IFERROR(__xludf.DUMMYFUNCTION("""COMPUTED_VALUE"""),45857.58218)</f>
        <v>45857.58218</v>
      </c>
      <c r="B651" s="2" t="str">
        <f>IFERROR(__xludf.DUMMYFUNCTION("""COMPUTED_VALUE"""),"Post 2")</f>
        <v>Post 2</v>
      </c>
      <c r="C651" s="2" t="str">
        <f>IFERROR(__xludf.DUMMYFUNCTION("""COMPUTED_VALUE"""),"LAG 72")</f>
        <v>LAG 72</v>
      </c>
      <c r="D651" s="2">
        <f>IFERROR(__xludf.DUMMYFUNCTION("""COMPUTED_VALUE"""),15.0)</f>
        <v>15</v>
      </c>
      <c r="E651" s="2" t="str">
        <f>IFERROR(__xludf.DUMMYFUNCTION("""COMPUTED_VALUE"""),"Herrelag")</f>
        <v>Herrelag</v>
      </c>
    </row>
    <row r="652" ht="15.75" customHeight="1">
      <c r="A652" s="18">
        <f>IFERROR(__xludf.DUMMYFUNCTION("""COMPUTED_VALUE"""),45857.582260069445)</f>
        <v>45857.58226</v>
      </c>
      <c r="B652" s="2" t="str">
        <f>IFERROR(__xludf.DUMMYFUNCTION("""COMPUTED_VALUE"""),"Post 20")</f>
        <v>Post 20</v>
      </c>
      <c r="C652" s="2" t="str">
        <f>IFERROR(__xludf.DUMMYFUNCTION("""COMPUTED_VALUE"""),"LAG 45")</f>
        <v>LAG 45</v>
      </c>
      <c r="D652" s="2">
        <f>IFERROR(__xludf.DUMMYFUNCTION("""COMPUTED_VALUE"""),20.0)</f>
        <v>20</v>
      </c>
      <c r="E652" s="2" t="str">
        <f>IFERROR(__xludf.DUMMYFUNCTION("""COMPUTED_VALUE"""),"Damelag")</f>
        <v>Damelag</v>
      </c>
    </row>
    <row r="653" ht="15.75" customHeight="1">
      <c r="A653" s="18">
        <f>IFERROR(__xludf.DUMMYFUNCTION("""COMPUTED_VALUE"""),45857.58227622685)</f>
        <v>45857.58228</v>
      </c>
      <c r="B653" s="2" t="str">
        <f>IFERROR(__xludf.DUMMYFUNCTION("""COMPUTED_VALUE"""),"Post 13")</f>
        <v>Post 13</v>
      </c>
      <c r="C653" s="2" t="str">
        <f>IFERROR(__xludf.DUMMYFUNCTION("""COMPUTED_VALUE"""),"LAG 26")</f>
        <v>LAG 26</v>
      </c>
      <c r="D653" s="2">
        <f>IFERROR(__xludf.DUMMYFUNCTION("""COMPUTED_VALUE"""),30.0)</f>
        <v>30</v>
      </c>
      <c r="E653" s="2" t="str">
        <f>IFERROR(__xludf.DUMMYFUNCTION("""COMPUTED_VALUE"""),"Damelag")</f>
        <v>Damelag</v>
      </c>
    </row>
    <row r="654" ht="15.75" customHeight="1">
      <c r="A654" s="18">
        <f>IFERROR(__xludf.DUMMYFUNCTION("""COMPUTED_VALUE"""),45857.582405891204)</f>
        <v>45857.58241</v>
      </c>
      <c r="B654" s="2" t="str">
        <f>IFERROR(__xludf.DUMMYFUNCTION("""COMPUTED_VALUE"""),"Post 8")</f>
        <v>Post 8</v>
      </c>
      <c r="C654" s="2" t="str">
        <f>IFERROR(__xludf.DUMMYFUNCTION("""COMPUTED_VALUE"""),"LAG 44")</f>
        <v>LAG 44</v>
      </c>
      <c r="D654" s="2">
        <f>IFERROR(__xludf.DUMMYFUNCTION("""COMPUTED_VALUE"""),20.0)</f>
        <v>20</v>
      </c>
      <c r="E654" s="2" t="str">
        <f>IFERROR(__xludf.DUMMYFUNCTION("""COMPUTED_VALUE"""),"Damelag")</f>
        <v>Damelag</v>
      </c>
    </row>
    <row r="655" ht="15.75" customHeight="1">
      <c r="A655" s="18">
        <f>IFERROR(__xludf.DUMMYFUNCTION("""COMPUTED_VALUE"""),45857.58248075232)</f>
        <v>45857.58248</v>
      </c>
      <c r="B655" s="2" t="str">
        <f>IFERROR(__xludf.DUMMYFUNCTION("""COMPUTED_VALUE"""),"Post 12")</f>
        <v>Post 12</v>
      </c>
      <c r="C655" s="2" t="str">
        <f>IFERROR(__xludf.DUMMYFUNCTION("""COMPUTED_VALUE"""),"LAG 8")</f>
        <v>LAG 8</v>
      </c>
      <c r="D655" s="2">
        <f>IFERROR(__xludf.DUMMYFUNCTION("""COMPUTED_VALUE"""),12.0)</f>
        <v>12</v>
      </c>
      <c r="E655" s="2" t="str">
        <f>IFERROR(__xludf.DUMMYFUNCTION("""COMPUTED_VALUE"""),"Herrelag")</f>
        <v>Herrelag</v>
      </c>
    </row>
    <row r="656" ht="15.75" customHeight="1">
      <c r="A656" s="18">
        <f>IFERROR(__xludf.DUMMYFUNCTION("""COMPUTED_VALUE"""),45857.58250109953)</f>
        <v>45857.5825</v>
      </c>
      <c r="B656" s="2" t="str">
        <f>IFERROR(__xludf.DUMMYFUNCTION("""COMPUTED_VALUE"""),"Post 13")</f>
        <v>Post 13</v>
      </c>
      <c r="C656" s="2" t="str">
        <f>IFERROR(__xludf.DUMMYFUNCTION("""COMPUTED_VALUE"""),"LAG 53")</f>
        <v>LAG 53</v>
      </c>
      <c r="D656" s="2">
        <f>IFERROR(__xludf.DUMMYFUNCTION("""COMPUTED_VALUE"""),25.0)</f>
        <v>25</v>
      </c>
      <c r="E656" s="2" t="str">
        <f>IFERROR(__xludf.DUMMYFUNCTION("""COMPUTED_VALUE"""),"Damelag")</f>
        <v>Damelag</v>
      </c>
    </row>
    <row r="657" ht="15.75" customHeight="1">
      <c r="A657" s="18">
        <f>IFERROR(__xludf.DUMMYFUNCTION("""COMPUTED_VALUE"""),45857.582591342594)</f>
        <v>45857.58259</v>
      </c>
      <c r="B657" s="2" t="str">
        <f>IFERROR(__xludf.DUMMYFUNCTION("""COMPUTED_VALUE"""),"Post 6")</f>
        <v>Post 6</v>
      </c>
      <c r="C657" s="2" t="str">
        <f>IFERROR(__xludf.DUMMYFUNCTION("""COMPUTED_VALUE"""),"LAG 80")</f>
        <v>LAG 80</v>
      </c>
      <c r="D657" s="2">
        <f>IFERROR(__xludf.DUMMYFUNCTION("""COMPUTED_VALUE"""),16.0)</f>
        <v>16</v>
      </c>
      <c r="E657" s="2" t="str">
        <f>IFERROR(__xludf.DUMMYFUNCTION("""COMPUTED_VALUE"""),"Herrelag")</f>
        <v>Herrelag</v>
      </c>
    </row>
    <row r="658" ht="15.75" customHeight="1">
      <c r="A658" s="18">
        <f>IFERROR(__xludf.DUMMYFUNCTION("""COMPUTED_VALUE"""),45857.58272988426)</f>
        <v>45857.58273</v>
      </c>
      <c r="B658" s="2" t="str">
        <f>IFERROR(__xludf.DUMMYFUNCTION("""COMPUTED_VALUE"""),"Post 2")</f>
        <v>Post 2</v>
      </c>
      <c r="C658" s="2" t="str">
        <f>IFERROR(__xludf.DUMMYFUNCTION("""COMPUTED_VALUE"""),"LAG 79")</f>
        <v>LAG 79</v>
      </c>
      <c r="D658" s="2">
        <f>IFERROR(__xludf.DUMMYFUNCTION("""COMPUTED_VALUE"""),15.0)</f>
        <v>15</v>
      </c>
      <c r="E658" s="2" t="str">
        <f>IFERROR(__xludf.DUMMYFUNCTION("""COMPUTED_VALUE"""),"Herrelag")</f>
        <v>Herrelag</v>
      </c>
    </row>
    <row r="659" ht="15.75" customHeight="1">
      <c r="A659" s="18">
        <f>IFERROR(__xludf.DUMMYFUNCTION("""COMPUTED_VALUE"""),45857.582784293976)</f>
        <v>45857.58278</v>
      </c>
      <c r="B659" s="2" t="str">
        <f>IFERROR(__xludf.DUMMYFUNCTION("""COMPUTED_VALUE"""),"Post 13")</f>
        <v>Post 13</v>
      </c>
      <c r="C659" s="2" t="str">
        <f>IFERROR(__xludf.DUMMYFUNCTION("""COMPUTED_VALUE"""),"LAG 70")</f>
        <v>LAG 70</v>
      </c>
      <c r="D659" s="2">
        <f>IFERROR(__xludf.DUMMYFUNCTION("""COMPUTED_VALUE"""),30.0)</f>
        <v>30</v>
      </c>
      <c r="E659" s="2" t="str">
        <f>IFERROR(__xludf.DUMMYFUNCTION("""COMPUTED_VALUE"""),"Mixlag")</f>
        <v>Mixlag</v>
      </c>
    </row>
    <row r="660" ht="15.75" customHeight="1">
      <c r="A660" s="18">
        <f>IFERROR(__xludf.DUMMYFUNCTION("""COMPUTED_VALUE"""),45857.58289090278)</f>
        <v>45857.58289</v>
      </c>
      <c r="B660" s="2" t="str">
        <f>IFERROR(__xludf.DUMMYFUNCTION("""COMPUTED_VALUE"""),"Post 6")</f>
        <v>Post 6</v>
      </c>
      <c r="C660" s="2" t="str">
        <f>IFERROR(__xludf.DUMMYFUNCTION("""COMPUTED_VALUE"""),"LAG 13")</f>
        <v>LAG 13</v>
      </c>
      <c r="D660" s="2">
        <f>IFERROR(__xludf.DUMMYFUNCTION("""COMPUTED_VALUE"""),8.0)</f>
        <v>8</v>
      </c>
      <c r="E660" s="2" t="str">
        <f>IFERROR(__xludf.DUMMYFUNCTION("""COMPUTED_VALUE"""),"Herrelag")</f>
        <v>Herrelag</v>
      </c>
    </row>
    <row r="661" ht="15.75" customHeight="1">
      <c r="A661" s="18">
        <f>IFERROR(__xludf.DUMMYFUNCTION("""COMPUTED_VALUE"""),45857.5831703125)</f>
        <v>45857.58317</v>
      </c>
      <c r="B661" s="2" t="str">
        <f>IFERROR(__xludf.DUMMYFUNCTION("""COMPUTED_VALUE"""),"Post 13")</f>
        <v>Post 13</v>
      </c>
      <c r="C661" s="2" t="str">
        <f>IFERROR(__xludf.DUMMYFUNCTION("""COMPUTED_VALUE"""),"LAG 67")</f>
        <v>LAG 67</v>
      </c>
      <c r="D661" s="2">
        <f>IFERROR(__xludf.DUMMYFUNCTION("""COMPUTED_VALUE"""),30.0)</f>
        <v>30</v>
      </c>
      <c r="E661" s="2" t="str">
        <f>IFERROR(__xludf.DUMMYFUNCTION("""COMPUTED_VALUE"""),"Damelag")</f>
        <v>Damelag</v>
      </c>
    </row>
    <row r="662" ht="15.75" customHeight="1">
      <c r="A662" s="18">
        <f>IFERROR(__xludf.DUMMYFUNCTION("""COMPUTED_VALUE"""),45857.58332185185)</f>
        <v>45857.58332</v>
      </c>
      <c r="B662" s="2" t="str">
        <f>IFERROR(__xludf.DUMMYFUNCTION("""COMPUTED_VALUE"""),"Post 7")</f>
        <v>Post 7</v>
      </c>
      <c r="C662" s="2" t="str">
        <f>IFERROR(__xludf.DUMMYFUNCTION("""COMPUTED_VALUE"""),"LAG 2")</f>
        <v>LAG 2</v>
      </c>
      <c r="D662" s="2">
        <f>IFERROR(__xludf.DUMMYFUNCTION("""COMPUTED_VALUE"""),10.0)</f>
        <v>10</v>
      </c>
      <c r="E662" s="2" t="str">
        <f>IFERROR(__xludf.DUMMYFUNCTION("""COMPUTED_VALUE"""),"Damelag")</f>
        <v>Damelag</v>
      </c>
    </row>
    <row r="663" ht="15.75" customHeight="1">
      <c r="A663" s="18">
        <f>IFERROR(__xludf.DUMMYFUNCTION("""COMPUTED_VALUE"""),45857.58344743056)</f>
        <v>45857.58345</v>
      </c>
      <c r="B663" s="2" t="str">
        <f>IFERROR(__xludf.DUMMYFUNCTION("""COMPUTED_VALUE"""),"Post 13")</f>
        <v>Post 13</v>
      </c>
      <c r="C663" s="2" t="str">
        <f>IFERROR(__xludf.DUMMYFUNCTION("""COMPUTED_VALUE"""),"LAG 60")</f>
        <v>LAG 60</v>
      </c>
      <c r="D663" s="2">
        <f>IFERROR(__xludf.DUMMYFUNCTION("""COMPUTED_VALUE"""),20.0)</f>
        <v>20</v>
      </c>
      <c r="E663" s="2" t="str">
        <f>IFERROR(__xludf.DUMMYFUNCTION("""COMPUTED_VALUE"""),"Herrelag")</f>
        <v>Herrelag</v>
      </c>
    </row>
    <row r="664" ht="15.75" customHeight="1">
      <c r="A664" s="18">
        <f>IFERROR(__xludf.DUMMYFUNCTION("""COMPUTED_VALUE"""),45857.58346954861)</f>
        <v>45857.58347</v>
      </c>
      <c r="B664" s="2" t="str">
        <f>IFERROR(__xludf.DUMMYFUNCTION("""COMPUTED_VALUE"""),"Post 9")</f>
        <v>Post 9</v>
      </c>
      <c r="C664" s="2" t="str">
        <f>IFERROR(__xludf.DUMMYFUNCTION("""COMPUTED_VALUE"""),"LAG 28")</f>
        <v>LAG 28</v>
      </c>
      <c r="D664" s="2">
        <f>IFERROR(__xludf.DUMMYFUNCTION("""COMPUTED_VALUE"""),24.0)</f>
        <v>24</v>
      </c>
      <c r="E664" s="2" t="str">
        <f>IFERROR(__xludf.DUMMYFUNCTION("""COMPUTED_VALUE"""),"Damelag")</f>
        <v>Damelag</v>
      </c>
    </row>
    <row r="665" ht="15.75" customHeight="1">
      <c r="A665" s="18">
        <f>IFERROR(__xludf.DUMMYFUNCTION("""COMPUTED_VALUE"""),45857.583550254625)</f>
        <v>45857.58355</v>
      </c>
      <c r="B665" s="2" t="str">
        <f>IFERROR(__xludf.DUMMYFUNCTION("""COMPUTED_VALUE"""),"Post 7")</f>
        <v>Post 7</v>
      </c>
      <c r="C665" s="2" t="str">
        <f>IFERROR(__xludf.DUMMYFUNCTION("""COMPUTED_VALUE"""),"LAG 4")</f>
        <v>LAG 4</v>
      </c>
      <c r="D665" s="2">
        <f>IFERROR(__xludf.DUMMYFUNCTION("""COMPUTED_VALUE"""),20.0)</f>
        <v>20</v>
      </c>
      <c r="E665" s="2" t="str">
        <f>IFERROR(__xludf.DUMMYFUNCTION("""COMPUTED_VALUE"""),"Herrelag")</f>
        <v>Herrelag</v>
      </c>
    </row>
    <row r="666" ht="15.75" customHeight="1">
      <c r="A666" s="18">
        <f>IFERROR(__xludf.DUMMYFUNCTION("""COMPUTED_VALUE"""),45857.58356850695)</f>
        <v>45857.58357</v>
      </c>
      <c r="B666" s="2" t="str">
        <f>IFERROR(__xludf.DUMMYFUNCTION("""COMPUTED_VALUE"""),"Post 19")</f>
        <v>Post 19</v>
      </c>
      <c r="C666" s="2" t="str">
        <f>IFERROR(__xludf.DUMMYFUNCTION("""COMPUTED_VALUE"""),"LAG 1")</f>
        <v>LAG 1</v>
      </c>
      <c r="D666" s="2">
        <f>IFERROR(__xludf.DUMMYFUNCTION("""COMPUTED_VALUE"""),12.0)</f>
        <v>12</v>
      </c>
      <c r="E666" s="2" t="str">
        <f>IFERROR(__xludf.DUMMYFUNCTION("""COMPUTED_VALUE"""),"Damelag")</f>
        <v>Damelag</v>
      </c>
    </row>
    <row r="667" ht="15.75" customHeight="1">
      <c r="A667" s="18">
        <f>IFERROR(__xludf.DUMMYFUNCTION("""COMPUTED_VALUE"""),45857.58359971065)</f>
        <v>45857.5836</v>
      </c>
      <c r="B667" s="2" t="str">
        <f>IFERROR(__xludf.DUMMYFUNCTION("""COMPUTED_VALUE"""),"Post 13")</f>
        <v>Post 13</v>
      </c>
      <c r="C667" s="2" t="str">
        <f>IFERROR(__xludf.DUMMYFUNCTION("""COMPUTED_VALUE"""),"LAG 15")</f>
        <v>LAG 15</v>
      </c>
      <c r="D667" s="2">
        <f>IFERROR(__xludf.DUMMYFUNCTION("""COMPUTED_VALUE"""),20.0)</f>
        <v>20</v>
      </c>
      <c r="E667" s="2" t="str">
        <f>IFERROR(__xludf.DUMMYFUNCTION("""COMPUTED_VALUE"""),"Herrelag")</f>
        <v>Herrelag</v>
      </c>
    </row>
    <row r="668" ht="15.75" customHeight="1">
      <c r="A668" s="18">
        <f>IFERROR(__xludf.DUMMYFUNCTION("""COMPUTED_VALUE"""),45857.58380075231)</f>
        <v>45857.5838</v>
      </c>
      <c r="B668" s="2" t="str">
        <f>IFERROR(__xludf.DUMMYFUNCTION("""COMPUTED_VALUE"""),"Post 19")</f>
        <v>Post 19</v>
      </c>
      <c r="C668" s="2" t="str">
        <f>IFERROR(__xludf.DUMMYFUNCTION("""COMPUTED_VALUE"""),"LAG 2")</f>
        <v>LAG 2</v>
      </c>
      <c r="D668" s="2">
        <f>IFERROR(__xludf.DUMMYFUNCTION("""COMPUTED_VALUE"""),8.0)</f>
        <v>8</v>
      </c>
      <c r="E668" s="2" t="str">
        <f>IFERROR(__xludf.DUMMYFUNCTION("""COMPUTED_VALUE"""),"Damelag")</f>
        <v>Damelag</v>
      </c>
    </row>
    <row r="669" ht="15.75" customHeight="1">
      <c r="A669" s="18">
        <f>IFERROR(__xludf.DUMMYFUNCTION("""COMPUTED_VALUE"""),45857.58399559028)</f>
        <v>45857.584</v>
      </c>
      <c r="B669" s="2" t="str">
        <f>IFERROR(__xludf.DUMMYFUNCTION("""COMPUTED_VALUE"""),"Post 7")</f>
        <v>Post 7</v>
      </c>
      <c r="C669" s="2" t="str">
        <f>IFERROR(__xludf.DUMMYFUNCTION("""COMPUTED_VALUE"""),"LAG 51")</f>
        <v>LAG 51</v>
      </c>
      <c r="D669" s="2">
        <f>IFERROR(__xludf.DUMMYFUNCTION("""COMPUTED_VALUE"""),15.0)</f>
        <v>15</v>
      </c>
      <c r="E669" s="2" t="str">
        <f>IFERROR(__xludf.DUMMYFUNCTION("""COMPUTED_VALUE"""),"Mixlag")</f>
        <v>Mixlag</v>
      </c>
    </row>
    <row r="670" ht="15.75" customHeight="1">
      <c r="A670" s="18">
        <f>IFERROR(__xludf.DUMMYFUNCTION("""COMPUTED_VALUE"""),45857.58400054398)</f>
        <v>45857.584</v>
      </c>
      <c r="B670" s="2" t="str">
        <f>IFERROR(__xludf.DUMMYFUNCTION("""COMPUTED_VALUE"""),"Post 7")</f>
        <v>Post 7</v>
      </c>
      <c r="C670" s="2" t="str">
        <f>IFERROR(__xludf.DUMMYFUNCTION("""COMPUTED_VALUE"""),"LAG 5")</f>
        <v>LAG 5</v>
      </c>
      <c r="D670" s="2">
        <f>IFERROR(__xludf.DUMMYFUNCTION("""COMPUTED_VALUE"""),20.0)</f>
        <v>20</v>
      </c>
      <c r="E670" s="2" t="str">
        <f>IFERROR(__xludf.DUMMYFUNCTION("""COMPUTED_VALUE"""),"Mixlag")</f>
        <v>Mixlag</v>
      </c>
    </row>
    <row r="671" ht="15.75" customHeight="1">
      <c r="A671" s="18">
        <f>IFERROR(__xludf.DUMMYFUNCTION("""COMPUTED_VALUE"""),45857.584017650464)</f>
        <v>45857.58402</v>
      </c>
      <c r="B671" s="2" t="str">
        <f>IFERROR(__xludf.DUMMYFUNCTION("""COMPUTED_VALUE"""),"Post 19")</f>
        <v>Post 19</v>
      </c>
      <c r="C671" s="2" t="str">
        <f>IFERROR(__xludf.DUMMYFUNCTION("""COMPUTED_VALUE"""),"LAG 3")</f>
        <v>LAG 3</v>
      </c>
      <c r="D671" s="2">
        <f>IFERROR(__xludf.DUMMYFUNCTION("""COMPUTED_VALUE"""),16.0)</f>
        <v>16</v>
      </c>
      <c r="E671" s="2" t="str">
        <f>IFERROR(__xludf.DUMMYFUNCTION("""COMPUTED_VALUE"""),"Damelag")</f>
        <v>Damelag</v>
      </c>
    </row>
    <row r="672" ht="15.75" customHeight="1">
      <c r="A672" s="18">
        <f>IFERROR(__xludf.DUMMYFUNCTION("""COMPUTED_VALUE"""),45857.58404342593)</f>
        <v>45857.58404</v>
      </c>
      <c r="B672" s="2" t="str">
        <f>IFERROR(__xludf.DUMMYFUNCTION("""COMPUTED_VALUE"""),"Post 19")</f>
        <v>Post 19</v>
      </c>
      <c r="C672" s="2" t="str">
        <f>IFERROR(__xludf.DUMMYFUNCTION("""COMPUTED_VALUE"""),"LAG 51")</f>
        <v>LAG 51</v>
      </c>
      <c r="D672" s="2">
        <f>IFERROR(__xludf.DUMMYFUNCTION("""COMPUTED_VALUE"""),12.0)</f>
        <v>12</v>
      </c>
      <c r="E672" s="2" t="str">
        <f>IFERROR(__xludf.DUMMYFUNCTION("""COMPUTED_VALUE"""),"Mixlag")</f>
        <v>Mixlag</v>
      </c>
    </row>
    <row r="673" ht="15.75" customHeight="1">
      <c r="A673" s="18">
        <f>IFERROR(__xludf.DUMMYFUNCTION("""COMPUTED_VALUE"""),45857.58422607639)</f>
        <v>45857.58423</v>
      </c>
      <c r="B673" s="2" t="str">
        <f>IFERROR(__xludf.DUMMYFUNCTION("""COMPUTED_VALUE"""),"Post 16")</f>
        <v>Post 16</v>
      </c>
      <c r="C673" s="2" t="str">
        <f>IFERROR(__xludf.DUMMYFUNCTION("""COMPUTED_VALUE"""),"LAG 51")</f>
        <v>LAG 51</v>
      </c>
      <c r="D673" s="2">
        <f>IFERROR(__xludf.DUMMYFUNCTION("""COMPUTED_VALUE"""),17.0)</f>
        <v>17</v>
      </c>
      <c r="E673" s="2" t="str">
        <f>IFERROR(__xludf.DUMMYFUNCTION("""COMPUTED_VALUE"""),"Mixlag")</f>
        <v>Mixlag</v>
      </c>
    </row>
    <row r="674" ht="15.75" customHeight="1">
      <c r="A674" s="18">
        <f>IFERROR(__xludf.DUMMYFUNCTION("""COMPUTED_VALUE"""),45857.5842378125)</f>
        <v>45857.58424</v>
      </c>
      <c r="B674" s="2" t="str">
        <f>IFERROR(__xludf.DUMMYFUNCTION("""COMPUTED_VALUE"""),"Post 7")</f>
        <v>Post 7</v>
      </c>
      <c r="C674" s="2" t="str">
        <f>IFERROR(__xludf.DUMMYFUNCTION("""COMPUTED_VALUE"""),"LAG 53")</f>
        <v>LAG 53</v>
      </c>
      <c r="D674" s="2">
        <f>IFERROR(__xludf.DUMMYFUNCTION("""COMPUTED_VALUE"""),15.0)</f>
        <v>15</v>
      </c>
      <c r="E674" s="2" t="str">
        <f>IFERROR(__xludf.DUMMYFUNCTION("""COMPUTED_VALUE"""),"Damelag")</f>
        <v>Damelag</v>
      </c>
    </row>
    <row r="675" ht="15.75" customHeight="1">
      <c r="A675" s="18">
        <f>IFERROR(__xludf.DUMMYFUNCTION("""COMPUTED_VALUE"""),45857.58425954861)</f>
        <v>45857.58426</v>
      </c>
      <c r="B675" s="2" t="str">
        <f>IFERROR(__xludf.DUMMYFUNCTION("""COMPUTED_VALUE"""),"Post 19")</f>
        <v>Post 19</v>
      </c>
      <c r="C675" s="2" t="str">
        <f>IFERROR(__xludf.DUMMYFUNCTION("""COMPUTED_VALUE"""),"LAG 5")</f>
        <v>LAG 5</v>
      </c>
      <c r="D675" s="2">
        <f>IFERROR(__xludf.DUMMYFUNCTION("""COMPUTED_VALUE"""),12.0)</f>
        <v>12</v>
      </c>
      <c r="E675" s="2" t="str">
        <f>IFERROR(__xludf.DUMMYFUNCTION("""COMPUTED_VALUE"""),"Mixlag")</f>
        <v>Mixlag</v>
      </c>
    </row>
    <row r="676" ht="15.75" customHeight="1">
      <c r="A676" s="18">
        <f>IFERROR(__xludf.DUMMYFUNCTION("""COMPUTED_VALUE"""),45857.58431283565)</f>
        <v>45857.58431</v>
      </c>
      <c r="B676" s="2" t="str">
        <f>IFERROR(__xludf.DUMMYFUNCTION("""COMPUTED_VALUE"""),"Post 7")</f>
        <v>Post 7</v>
      </c>
      <c r="C676" s="2" t="str">
        <f>IFERROR(__xludf.DUMMYFUNCTION("""COMPUTED_VALUE"""),"LAG 6")</f>
        <v>LAG 6</v>
      </c>
      <c r="D676" s="2">
        <f>IFERROR(__xludf.DUMMYFUNCTION("""COMPUTED_VALUE"""),5.0)</f>
        <v>5</v>
      </c>
      <c r="E676" s="2" t="str">
        <f>IFERROR(__xludf.DUMMYFUNCTION("""COMPUTED_VALUE"""),"Mixlag")</f>
        <v>Mixlag</v>
      </c>
    </row>
    <row r="677" ht="15.75" customHeight="1">
      <c r="A677" s="18">
        <f>IFERROR(__xludf.DUMMYFUNCTION("""COMPUTED_VALUE"""),45857.58431347222)</f>
        <v>45857.58431</v>
      </c>
      <c r="B677" s="2" t="str">
        <f>IFERROR(__xludf.DUMMYFUNCTION("""COMPUTED_VALUE"""),"Post 19")</f>
        <v>Post 19</v>
      </c>
      <c r="C677" s="2" t="str">
        <f>IFERROR(__xludf.DUMMYFUNCTION("""COMPUTED_VALUE"""),"LAG 53")</f>
        <v>LAG 53</v>
      </c>
      <c r="D677" s="2">
        <f>IFERROR(__xludf.DUMMYFUNCTION("""COMPUTED_VALUE"""),12.0)</f>
        <v>12</v>
      </c>
      <c r="E677" s="2" t="str">
        <f>IFERROR(__xludf.DUMMYFUNCTION("""COMPUTED_VALUE"""),"Damelag")</f>
        <v>Damelag</v>
      </c>
    </row>
    <row r="678" ht="15.75" customHeight="1">
      <c r="A678" s="18">
        <f>IFERROR(__xludf.DUMMYFUNCTION("""COMPUTED_VALUE"""),45857.58440447917)</f>
        <v>45857.5844</v>
      </c>
      <c r="B678" s="2" t="str">
        <f>IFERROR(__xludf.DUMMYFUNCTION("""COMPUTED_VALUE"""),"Post 16")</f>
        <v>Post 16</v>
      </c>
      <c r="C678" s="2" t="str">
        <f>IFERROR(__xludf.DUMMYFUNCTION("""COMPUTED_VALUE"""),"LAG 26")</f>
        <v>LAG 26</v>
      </c>
      <c r="D678" s="2">
        <f>IFERROR(__xludf.DUMMYFUNCTION("""COMPUTED_VALUE"""),19.0)</f>
        <v>19</v>
      </c>
      <c r="E678" s="2" t="str">
        <f>IFERROR(__xludf.DUMMYFUNCTION("""COMPUTED_VALUE"""),"Damelag")</f>
        <v>Damelag</v>
      </c>
    </row>
    <row r="679" ht="15.75" customHeight="1">
      <c r="A679" s="18">
        <f>IFERROR(__xludf.DUMMYFUNCTION("""COMPUTED_VALUE"""),45857.58445409722)</f>
        <v>45857.58445</v>
      </c>
      <c r="B679" s="2" t="str">
        <f>IFERROR(__xludf.DUMMYFUNCTION("""COMPUTED_VALUE"""),"Post 19")</f>
        <v>Post 19</v>
      </c>
      <c r="C679" s="2" t="str">
        <f>IFERROR(__xludf.DUMMYFUNCTION("""COMPUTED_VALUE"""),"LAG 6")</f>
        <v>LAG 6</v>
      </c>
      <c r="D679" s="2">
        <f>IFERROR(__xludf.DUMMYFUNCTION("""COMPUTED_VALUE"""),14.0)</f>
        <v>14</v>
      </c>
      <c r="E679" s="2" t="str">
        <f>IFERROR(__xludf.DUMMYFUNCTION("""COMPUTED_VALUE"""),"Mixlag")</f>
        <v>Mixlag</v>
      </c>
    </row>
    <row r="680" ht="15.75" customHeight="1">
      <c r="A680" s="18">
        <f>IFERROR(__xludf.DUMMYFUNCTION("""COMPUTED_VALUE"""),45857.58446881945)</f>
        <v>45857.58447</v>
      </c>
      <c r="B680" s="2" t="str">
        <f>IFERROR(__xludf.DUMMYFUNCTION("""COMPUTED_VALUE"""),"Post 7")</f>
        <v>Post 7</v>
      </c>
      <c r="C680" s="2" t="str">
        <f>IFERROR(__xludf.DUMMYFUNCTION("""COMPUTED_VALUE"""),"LAG 55")</f>
        <v>LAG 55</v>
      </c>
      <c r="D680" s="2">
        <f>IFERROR(__xludf.DUMMYFUNCTION("""COMPUTED_VALUE"""),10.0)</f>
        <v>10</v>
      </c>
      <c r="E680" s="2" t="str">
        <f>IFERROR(__xludf.DUMMYFUNCTION("""COMPUTED_VALUE"""),"Damelag")</f>
        <v>Damelag</v>
      </c>
    </row>
    <row r="681" ht="15.75" customHeight="1">
      <c r="A681" s="18">
        <f>IFERROR(__xludf.DUMMYFUNCTION("""COMPUTED_VALUE"""),45857.5845277662)</f>
        <v>45857.58453</v>
      </c>
      <c r="B681" s="2" t="str">
        <f>IFERROR(__xludf.DUMMYFUNCTION("""COMPUTED_VALUE"""),"Post 7")</f>
        <v>Post 7</v>
      </c>
      <c r="C681" s="2" t="str">
        <f>IFERROR(__xludf.DUMMYFUNCTION("""COMPUTED_VALUE"""),"LAG 7")</f>
        <v>LAG 7</v>
      </c>
      <c r="D681" s="2">
        <f>IFERROR(__xludf.DUMMYFUNCTION("""COMPUTED_VALUE"""),5.0)</f>
        <v>5</v>
      </c>
      <c r="E681" s="2" t="str">
        <f>IFERROR(__xludf.DUMMYFUNCTION("""COMPUTED_VALUE"""),"Mixlag")</f>
        <v>Mixlag</v>
      </c>
    </row>
    <row r="682" ht="15.75" customHeight="1">
      <c r="A682" s="18">
        <f>IFERROR(__xludf.DUMMYFUNCTION("""COMPUTED_VALUE"""),45857.58458768518)</f>
        <v>45857.58459</v>
      </c>
      <c r="B682" s="2" t="str">
        <f>IFERROR(__xludf.DUMMYFUNCTION("""COMPUTED_VALUE"""),"Post 16")</f>
        <v>Post 16</v>
      </c>
      <c r="C682" s="2" t="str">
        <f>IFERROR(__xludf.DUMMYFUNCTION("""COMPUTED_VALUE"""),"LAG 76")</f>
        <v>LAG 76</v>
      </c>
      <c r="D682" s="2">
        <f>IFERROR(__xludf.DUMMYFUNCTION("""COMPUTED_VALUE"""),23.0)</f>
        <v>23</v>
      </c>
      <c r="E682" s="2" t="str">
        <f>IFERROR(__xludf.DUMMYFUNCTION("""COMPUTED_VALUE"""),"Mixlag")</f>
        <v>Mixlag</v>
      </c>
    </row>
    <row r="683" ht="15.75" customHeight="1">
      <c r="A683" s="18">
        <f>IFERROR(__xludf.DUMMYFUNCTION("""COMPUTED_VALUE"""),45857.58461697916)</f>
        <v>45857.58462</v>
      </c>
      <c r="B683" s="2" t="str">
        <f>IFERROR(__xludf.DUMMYFUNCTION("""COMPUTED_VALUE"""),"Post 19")</f>
        <v>Post 19</v>
      </c>
      <c r="C683" s="2" t="str">
        <f>IFERROR(__xludf.DUMMYFUNCTION("""COMPUTED_VALUE"""),"LAG 55")</f>
        <v>LAG 55</v>
      </c>
      <c r="D683" s="2">
        <f>IFERROR(__xludf.DUMMYFUNCTION("""COMPUTED_VALUE"""),10.0)</f>
        <v>10</v>
      </c>
      <c r="E683" s="2" t="str">
        <f>IFERROR(__xludf.DUMMYFUNCTION("""COMPUTED_VALUE"""),"Damelag")</f>
        <v>Damelag</v>
      </c>
    </row>
    <row r="684" ht="15.75" customHeight="1">
      <c r="A684" s="18">
        <f>IFERROR(__xludf.DUMMYFUNCTION("""COMPUTED_VALUE"""),45857.58470872685)</f>
        <v>45857.58471</v>
      </c>
      <c r="B684" s="2" t="str">
        <f>IFERROR(__xludf.DUMMYFUNCTION("""COMPUTED_VALUE"""),"Post 7")</f>
        <v>Post 7</v>
      </c>
      <c r="C684" s="2" t="str">
        <f>IFERROR(__xludf.DUMMYFUNCTION("""COMPUTED_VALUE"""),"LAG 59")</f>
        <v>LAG 59</v>
      </c>
      <c r="D684" s="2">
        <f>IFERROR(__xludf.DUMMYFUNCTION("""COMPUTED_VALUE"""),15.0)</f>
        <v>15</v>
      </c>
      <c r="E684" s="2" t="str">
        <f>IFERROR(__xludf.DUMMYFUNCTION("""COMPUTED_VALUE"""),"Damelag")</f>
        <v>Damelag</v>
      </c>
    </row>
    <row r="685" ht="15.75" customHeight="1">
      <c r="A685" s="18">
        <f>IFERROR(__xludf.DUMMYFUNCTION("""COMPUTED_VALUE"""),45857.58473792824)</f>
        <v>45857.58474</v>
      </c>
      <c r="B685" s="2" t="str">
        <f>IFERROR(__xludf.DUMMYFUNCTION("""COMPUTED_VALUE"""),"Post 19")</f>
        <v>Post 19</v>
      </c>
      <c r="C685" s="2" t="str">
        <f>IFERROR(__xludf.DUMMYFUNCTION("""COMPUTED_VALUE"""),"LAG 7")</f>
        <v>LAG 7</v>
      </c>
      <c r="D685" s="2">
        <f>IFERROR(__xludf.DUMMYFUNCTION("""COMPUTED_VALUE"""),14.0)</f>
        <v>14</v>
      </c>
      <c r="E685" s="2" t="str">
        <f>IFERROR(__xludf.DUMMYFUNCTION("""COMPUTED_VALUE"""),"Mixlag")</f>
        <v>Mixlag</v>
      </c>
    </row>
    <row r="686" ht="15.75" customHeight="1">
      <c r="A686" s="18">
        <f>IFERROR(__xludf.DUMMYFUNCTION("""COMPUTED_VALUE"""),45857.584776180556)</f>
        <v>45857.58478</v>
      </c>
      <c r="B686" s="2" t="str">
        <f>IFERROR(__xludf.DUMMYFUNCTION("""COMPUTED_VALUE"""),"Post 16")</f>
        <v>Post 16</v>
      </c>
      <c r="C686" s="2" t="str">
        <f>IFERROR(__xludf.DUMMYFUNCTION("""COMPUTED_VALUE"""),"LAG 17")</f>
        <v>LAG 17</v>
      </c>
      <c r="D686" s="2">
        <f>IFERROR(__xludf.DUMMYFUNCTION("""COMPUTED_VALUE"""),17.0)</f>
        <v>17</v>
      </c>
      <c r="E686" s="2" t="str">
        <f>IFERROR(__xludf.DUMMYFUNCTION("""COMPUTED_VALUE"""),"Damelag")</f>
        <v>Damelag</v>
      </c>
    </row>
    <row r="687" ht="15.75" customHeight="1">
      <c r="A687" s="18">
        <f>IFERROR(__xludf.DUMMYFUNCTION("""COMPUTED_VALUE"""),45857.58480527777)</f>
        <v>45857.58481</v>
      </c>
      <c r="B687" s="2" t="str">
        <f>IFERROR(__xludf.DUMMYFUNCTION("""COMPUTED_VALUE"""),"Post 7")</f>
        <v>Post 7</v>
      </c>
      <c r="C687" s="2" t="str">
        <f>IFERROR(__xludf.DUMMYFUNCTION("""COMPUTED_VALUE"""),"LAG 8")</f>
        <v>LAG 8</v>
      </c>
      <c r="D687" s="2">
        <f>IFERROR(__xludf.DUMMYFUNCTION("""COMPUTED_VALUE"""),10.0)</f>
        <v>10</v>
      </c>
      <c r="E687" s="2" t="str">
        <f>IFERROR(__xludf.DUMMYFUNCTION("""COMPUTED_VALUE"""),"Herrelag")</f>
        <v>Herrelag</v>
      </c>
    </row>
    <row r="688" ht="15.75" customHeight="1">
      <c r="A688" s="18">
        <f>IFERROR(__xludf.DUMMYFUNCTION("""COMPUTED_VALUE"""),45857.58487663194)</f>
        <v>45857.58488</v>
      </c>
      <c r="B688" s="2" t="str">
        <f>IFERROR(__xludf.DUMMYFUNCTION("""COMPUTED_VALUE"""),"Post 19")</f>
        <v>Post 19</v>
      </c>
      <c r="C688" s="2" t="str">
        <f>IFERROR(__xludf.DUMMYFUNCTION("""COMPUTED_VALUE"""),"LAG 56")</f>
        <v>LAG 56</v>
      </c>
      <c r="D688" s="2">
        <f>IFERROR(__xludf.DUMMYFUNCTION("""COMPUTED_VALUE"""),10.0)</f>
        <v>10</v>
      </c>
      <c r="E688" s="2" t="str">
        <f>IFERROR(__xludf.DUMMYFUNCTION("""COMPUTED_VALUE"""),"Mixlag")</f>
        <v>Mixlag</v>
      </c>
    </row>
    <row r="689" ht="15.75" customHeight="1">
      <c r="A689" s="18">
        <f>IFERROR(__xludf.DUMMYFUNCTION("""COMPUTED_VALUE"""),45857.58494465278)</f>
        <v>45857.58494</v>
      </c>
      <c r="B689" s="2" t="str">
        <f>IFERROR(__xludf.DUMMYFUNCTION("""COMPUTED_VALUE"""),"Post 16")</f>
        <v>Post 16</v>
      </c>
      <c r="C689" s="2" t="str">
        <f>IFERROR(__xludf.DUMMYFUNCTION("""COMPUTED_VALUE"""),"LAG 74")</f>
        <v>LAG 74</v>
      </c>
      <c r="D689" s="2">
        <f>IFERROR(__xludf.DUMMYFUNCTION("""COMPUTED_VALUE"""),18.0)</f>
        <v>18</v>
      </c>
      <c r="E689" s="2" t="str">
        <f>IFERROR(__xludf.DUMMYFUNCTION("""COMPUTED_VALUE"""),"Damelag")</f>
        <v>Damelag</v>
      </c>
    </row>
    <row r="690" ht="15.75" customHeight="1">
      <c r="A690" s="18">
        <f>IFERROR(__xludf.DUMMYFUNCTION("""COMPUTED_VALUE"""),45857.58496199074)</f>
        <v>45857.58496</v>
      </c>
      <c r="B690" s="2" t="str">
        <f>IFERROR(__xludf.DUMMYFUNCTION("""COMPUTED_VALUE"""),"Post 7")</f>
        <v>Post 7</v>
      </c>
      <c r="C690" s="2" t="str">
        <f>IFERROR(__xludf.DUMMYFUNCTION("""COMPUTED_VALUE"""),"LAG 60")</f>
        <v>LAG 60</v>
      </c>
      <c r="D690" s="2">
        <f>IFERROR(__xludf.DUMMYFUNCTION("""COMPUTED_VALUE"""),5.0)</f>
        <v>5</v>
      </c>
      <c r="E690" s="2" t="str">
        <f>IFERROR(__xludf.DUMMYFUNCTION("""COMPUTED_VALUE"""),"Herrelag")</f>
        <v>Herrelag</v>
      </c>
    </row>
    <row r="691" ht="15.75" customHeight="1">
      <c r="A691" s="18">
        <f>IFERROR(__xludf.DUMMYFUNCTION("""COMPUTED_VALUE"""),45857.5850212963)</f>
        <v>45857.58502</v>
      </c>
      <c r="B691" s="2" t="str">
        <f>IFERROR(__xludf.DUMMYFUNCTION("""COMPUTED_VALUE"""),"Post 19")</f>
        <v>Post 19</v>
      </c>
      <c r="C691" s="2" t="str">
        <f>IFERROR(__xludf.DUMMYFUNCTION("""COMPUTED_VALUE"""),"LAG 11")</f>
        <v>LAG 11</v>
      </c>
      <c r="D691" s="2">
        <f>IFERROR(__xludf.DUMMYFUNCTION("""COMPUTED_VALUE"""),16.0)</f>
        <v>16</v>
      </c>
      <c r="E691" s="2" t="str">
        <f>IFERROR(__xludf.DUMMYFUNCTION("""COMPUTED_VALUE"""),"Damelag")</f>
        <v>Damelag</v>
      </c>
    </row>
    <row r="692" ht="15.75" customHeight="1">
      <c r="A692" s="18">
        <f>IFERROR(__xludf.DUMMYFUNCTION("""COMPUTED_VALUE"""),45857.58506386574)</f>
        <v>45857.58506</v>
      </c>
      <c r="B692" s="2" t="str">
        <f>IFERROR(__xludf.DUMMYFUNCTION("""COMPUTED_VALUE"""),"Post 7")</f>
        <v>Post 7</v>
      </c>
      <c r="C692" s="2" t="str">
        <f>IFERROR(__xludf.DUMMYFUNCTION("""COMPUTED_VALUE"""),"LAG 11")</f>
        <v>LAG 11</v>
      </c>
      <c r="D692" s="2">
        <f>IFERROR(__xludf.DUMMYFUNCTION("""COMPUTED_VALUE"""),10.0)</f>
        <v>10</v>
      </c>
      <c r="E692" s="2" t="str">
        <f>IFERROR(__xludf.DUMMYFUNCTION("""COMPUTED_VALUE"""),"Damelag")</f>
        <v>Damelag</v>
      </c>
    </row>
    <row r="693" ht="15.75" customHeight="1">
      <c r="A693" s="18">
        <f>IFERROR(__xludf.DUMMYFUNCTION("""COMPUTED_VALUE"""),45857.58511622685)</f>
        <v>45857.58512</v>
      </c>
      <c r="B693" s="2" t="str">
        <f>IFERROR(__xludf.DUMMYFUNCTION("""COMPUTED_VALUE"""),"Post 16")</f>
        <v>Post 16</v>
      </c>
      <c r="C693" s="2" t="str">
        <f>IFERROR(__xludf.DUMMYFUNCTION("""COMPUTED_VALUE"""),"LAG 53")</f>
        <v>LAG 53</v>
      </c>
      <c r="D693" s="2">
        <f>IFERROR(__xludf.DUMMYFUNCTION("""COMPUTED_VALUE"""),18.0)</f>
        <v>18</v>
      </c>
      <c r="E693" s="2" t="str">
        <f>IFERROR(__xludf.DUMMYFUNCTION("""COMPUTED_VALUE"""),"Damelag")</f>
        <v>Damelag</v>
      </c>
    </row>
    <row r="694" ht="15.75" customHeight="1">
      <c r="A694" s="18">
        <f>IFERROR(__xludf.DUMMYFUNCTION("""COMPUTED_VALUE"""),45857.5852678588)</f>
        <v>45857.58527</v>
      </c>
      <c r="B694" s="2" t="str">
        <f>IFERROR(__xludf.DUMMYFUNCTION("""COMPUTED_VALUE"""),"Post 7")</f>
        <v>Post 7</v>
      </c>
      <c r="C694" s="2" t="str">
        <f>IFERROR(__xludf.DUMMYFUNCTION("""COMPUTED_VALUE"""),"LAG 61")</f>
        <v>LAG 61</v>
      </c>
      <c r="D694" s="2">
        <f>IFERROR(__xludf.DUMMYFUNCTION("""COMPUTED_VALUE"""),10.0)</f>
        <v>10</v>
      </c>
      <c r="E694" s="2" t="str">
        <f>IFERROR(__xludf.DUMMYFUNCTION("""COMPUTED_VALUE"""),"Herrelag")</f>
        <v>Herrelag</v>
      </c>
    </row>
    <row r="695" ht="15.75" customHeight="1">
      <c r="A695" s="18">
        <f>IFERROR(__xludf.DUMMYFUNCTION("""COMPUTED_VALUE"""),45857.58526976852)</f>
        <v>45857.58527</v>
      </c>
      <c r="B695" s="2" t="str">
        <f>IFERROR(__xludf.DUMMYFUNCTION("""COMPUTED_VALUE"""),"Post 19")</f>
        <v>Post 19</v>
      </c>
      <c r="C695" s="2" t="str">
        <f>IFERROR(__xludf.DUMMYFUNCTION("""COMPUTED_VALUE"""),"LAG 60")</f>
        <v>LAG 60</v>
      </c>
      <c r="D695" s="2">
        <f>IFERROR(__xludf.DUMMYFUNCTION("""COMPUTED_VALUE"""),14.0)</f>
        <v>14</v>
      </c>
      <c r="E695" s="2" t="str">
        <f>IFERROR(__xludf.DUMMYFUNCTION("""COMPUTED_VALUE"""),"Herrelag")</f>
        <v>Herrelag</v>
      </c>
    </row>
    <row r="696" ht="15.75" customHeight="1">
      <c r="A696" s="18">
        <f>IFERROR(__xludf.DUMMYFUNCTION("""COMPUTED_VALUE"""),45857.585284976856)</f>
        <v>45857.58528</v>
      </c>
      <c r="B696" s="2" t="str">
        <f>IFERROR(__xludf.DUMMYFUNCTION("""COMPUTED_VALUE"""),"Post 16")</f>
        <v>Post 16</v>
      </c>
      <c r="C696" s="2" t="str">
        <f>IFERROR(__xludf.DUMMYFUNCTION("""COMPUTED_VALUE"""),"LAG 39")</f>
        <v>LAG 39</v>
      </c>
      <c r="D696" s="2">
        <f>IFERROR(__xludf.DUMMYFUNCTION("""COMPUTED_VALUE"""),20.0)</f>
        <v>20</v>
      </c>
      <c r="E696" s="2" t="str">
        <f>IFERROR(__xludf.DUMMYFUNCTION("""COMPUTED_VALUE"""),"Herrelag")</f>
        <v>Herrelag</v>
      </c>
    </row>
    <row r="697" ht="15.75" customHeight="1">
      <c r="A697" s="18">
        <f>IFERROR(__xludf.DUMMYFUNCTION("""COMPUTED_VALUE"""),45857.585280659725)</f>
        <v>45857.58528</v>
      </c>
      <c r="B697" s="2" t="str">
        <f>IFERROR(__xludf.DUMMYFUNCTION("""COMPUTED_VALUE"""),"Post 19")</f>
        <v>Post 19</v>
      </c>
      <c r="C697" s="2" t="str">
        <f>IFERROR(__xludf.DUMMYFUNCTION("""COMPUTED_VALUE"""),"LAG 14")</f>
        <v>LAG 14</v>
      </c>
      <c r="D697" s="2">
        <f>IFERROR(__xludf.DUMMYFUNCTION("""COMPUTED_VALUE"""),16.0)</f>
        <v>16</v>
      </c>
      <c r="E697" s="2" t="str">
        <f>IFERROR(__xludf.DUMMYFUNCTION("""COMPUTED_VALUE"""),"Mixlag")</f>
        <v>Mixlag</v>
      </c>
    </row>
    <row r="698" ht="15.75" customHeight="1">
      <c r="A698" s="18">
        <f>IFERROR(__xludf.DUMMYFUNCTION("""COMPUTED_VALUE"""),45857.58536456019)</f>
        <v>45857.58536</v>
      </c>
      <c r="B698" s="2" t="str">
        <f>IFERROR(__xludf.DUMMYFUNCTION("""COMPUTED_VALUE"""),"Post 15")</f>
        <v>Post 15</v>
      </c>
      <c r="C698" s="2" t="str">
        <f>IFERROR(__xludf.DUMMYFUNCTION("""COMPUTED_VALUE"""),"LAG 26")</f>
        <v>LAG 26</v>
      </c>
      <c r="D698" s="2">
        <f>IFERROR(__xludf.DUMMYFUNCTION("""COMPUTED_VALUE"""),20.0)</f>
        <v>20</v>
      </c>
      <c r="E698" s="2" t="str">
        <f>IFERROR(__xludf.DUMMYFUNCTION("""COMPUTED_VALUE"""),"Damelag")</f>
        <v>Damelag</v>
      </c>
    </row>
    <row r="699" ht="15.75" customHeight="1">
      <c r="A699" s="18">
        <f>IFERROR(__xludf.DUMMYFUNCTION("""COMPUTED_VALUE"""),45857.585384351856)</f>
        <v>45857.58538</v>
      </c>
      <c r="B699" s="2" t="str">
        <f>IFERROR(__xludf.DUMMYFUNCTION("""COMPUTED_VALUE"""),"Post 7")</f>
        <v>Post 7</v>
      </c>
      <c r="C699" s="2" t="str">
        <f>IFERROR(__xludf.DUMMYFUNCTION("""COMPUTED_VALUE"""),"LAG 13")</f>
        <v>LAG 13</v>
      </c>
      <c r="D699" s="2">
        <f>IFERROR(__xludf.DUMMYFUNCTION("""COMPUTED_VALUE"""),15.0)</f>
        <v>15</v>
      </c>
      <c r="E699" s="2" t="str">
        <f>IFERROR(__xludf.DUMMYFUNCTION("""COMPUTED_VALUE"""),"Herrelag")</f>
        <v>Herrelag</v>
      </c>
    </row>
    <row r="700" ht="15.75" customHeight="1">
      <c r="A700" s="18">
        <f>IFERROR(__xludf.DUMMYFUNCTION("""COMPUTED_VALUE"""),45857.58544559027)</f>
        <v>45857.58545</v>
      </c>
      <c r="B700" s="2" t="str">
        <f>IFERROR(__xludf.DUMMYFUNCTION("""COMPUTED_VALUE"""),"Post 16")</f>
        <v>Post 16</v>
      </c>
      <c r="C700" s="2" t="str">
        <f>IFERROR(__xludf.DUMMYFUNCTION("""COMPUTED_VALUE"""),"LAG 3")</f>
        <v>LAG 3</v>
      </c>
      <c r="D700" s="2">
        <f>IFERROR(__xludf.DUMMYFUNCTION("""COMPUTED_VALUE"""),24.0)</f>
        <v>24</v>
      </c>
      <c r="E700" s="2" t="str">
        <f>IFERROR(__xludf.DUMMYFUNCTION("""COMPUTED_VALUE"""),"Damelag")</f>
        <v>Damelag</v>
      </c>
    </row>
    <row r="701" ht="15.75" customHeight="1">
      <c r="A701" s="18">
        <f>IFERROR(__xludf.DUMMYFUNCTION("""COMPUTED_VALUE"""),45857.58554875)</f>
        <v>45857.58555</v>
      </c>
      <c r="B701" s="2" t="str">
        <f>IFERROR(__xludf.DUMMYFUNCTION("""COMPUTED_VALUE"""),"Post 7")</f>
        <v>Post 7</v>
      </c>
      <c r="C701" s="2" t="str">
        <f>IFERROR(__xludf.DUMMYFUNCTION("""COMPUTED_VALUE"""),"LAG 63")</f>
        <v>LAG 63</v>
      </c>
      <c r="D701" s="2">
        <f>IFERROR(__xludf.DUMMYFUNCTION("""COMPUTED_VALUE"""),15.0)</f>
        <v>15</v>
      </c>
      <c r="E701" s="2" t="str">
        <f>IFERROR(__xludf.DUMMYFUNCTION("""COMPUTED_VALUE"""),"Mixlag")</f>
        <v>Mixlag</v>
      </c>
    </row>
    <row r="702" ht="15.75" customHeight="1">
      <c r="A702" s="18">
        <f>IFERROR(__xludf.DUMMYFUNCTION("""COMPUTED_VALUE"""),45857.585551620374)</f>
        <v>45857.58555</v>
      </c>
      <c r="B702" s="2" t="str">
        <f>IFERROR(__xludf.DUMMYFUNCTION("""COMPUTED_VALUE"""),"Post 7")</f>
        <v>Post 7</v>
      </c>
      <c r="C702" s="2" t="str">
        <f>IFERROR(__xludf.DUMMYFUNCTION("""COMPUTED_VALUE"""),"LAG 14")</f>
        <v>LAG 14</v>
      </c>
      <c r="D702" s="2">
        <f>IFERROR(__xludf.DUMMYFUNCTION("""COMPUTED_VALUE"""),15.0)</f>
        <v>15</v>
      </c>
      <c r="E702" s="2" t="str">
        <f>IFERROR(__xludf.DUMMYFUNCTION("""COMPUTED_VALUE"""),"Mixlag")</f>
        <v>Mixlag</v>
      </c>
    </row>
    <row r="703" ht="15.75" customHeight="1">
      <c r="A703" s="18">
        <f>IFERROR(__xludf.DUMMYFUNCTION("""COMPUTED_VALUE"""),45857.58558475695)</f>
        <v>45857.58558</v>
      </c>
      <c r="B703" s="2" t="str">
        <f>IFERROR(__xludf.DUMMYFUNCTION("""COMPUTED_VALUE"""),"Post 19")</f>
        <v>Post 19</v>
      </c>
      <c r="C703" s="2" t="str">
        <f>IFERROR(__xludf.DUMMYFUNCTION("""COMPUTED_VALUE"""),"LAG 61")</f>
        <v>LAG 61</v>
      </c>
      <c r="D703" s="2">
        <f>IFERROR(__xludf.DUMMYFUNCTION("""COMPUTED_VALUE"""),18.0)</f>
        <v>18</v>
      </c>
      <c r="E703" s="2" t="str">
        <f>IFERROR(__xludf.DUMMYFUNCTION("""COMPUTED_VALUE"""),"Herrelag")</f>
        <v>Herrelag</v>
      </c>
    </row>
    <row r="704" ht="15.75" customHeight="1">
      <c r="A704" s="18">
        <f>IFERROR(__xludf.DUMMYFUNCTION("""COMPUTED_VALUE"""),45857.58559135417)</f>
        <v>45857.58559</v>
      </c>
      <c r="B704" s="2" t="str">
        <f>IFERROR(__xludf.DUMMYFUNCTION("""COMPUTED_VALUE"""),"Post 19")</f>
        <v>Post 19</v>
      </c>
      <c r="C704" s="2" t="str">
        <f>IFERROR(__xludf.DUMMYFUNCTION("""COMPUTED_VALUE"""),"LAG 16")</f>
        <v>LAG 16</v>
      </c>
      <c r="D704" s="2">
        <f>IFERROR(__xludf.DUMMYFUNCTION("""COMPUTED_VALUE"""),14.0)</f>
        <v>14</v>
      </c>
      <c r="E704" s="2" t="str">
        <f>IFERROR(__xludf.DUMMYFUNCTION("""COMPUTED_VALUE"""),"Herrelag")</f>
        <v>Herrelag</v>
      </c>
    </row>
    <row r="705" ht="15.75" customHeight="1">
      <c r="A705" s="18">
        <f>IFERROR(__xludf.DUMMYFUNCTION("""COMPUTED_VALUE"""),45857.58562060185)</f>
        <v>45857.58562</v>
      </c>
      <c r="B705" s="2" t="str">
        <f>IFERROR(__xludf.DUMMYFUNCTION("""COMPUTED_VALUE"""),"Post 16")</f>
        <v>Post 16</v>
      </c>
      <c r="C705" s="2" t="str">
        <f>IFERROR(__xludf.DUMMYFUNCTION("""COMPUTED_VALUE"""),"LAG 68")</f>
        <v>LAG 68</v>
      </c>
      <c r="D705" s="2">
        <f>IFERROR(__xludf.DUMMYFUNCTION("""COMPUTED_VALUE"""),14.0)</f>
        <v>14</v>
      </c>
      <c r="E705" s="2" t="str">
        <f>IFERROR(__xludf.DUMMYFUNCTION("""COMPUTED_VALUE"""),"Herrelag")</f>
        <v>Herrelag</v>
      </c>
    </row>
    <row r="706" ht="15.75" customHeight="1">
      <c r="A706" s="18">
        <f>IFERROR(__xludf.DUMMYFUNCTION("""COMPUTED_VALUE"""),45857.585729513885)</f>
        <v>45857.58573</v>
      </c>
      <c r="B706" s="2" t="str">
        <f>IFERROR(__xludf.DUMMYFUNCTION("""COMPUTED_VALUE"""),"Post 7")</f>
        <v>Post 7</v>
      </c>
      <c r="C706" s="2" t="str">
        <f>IFERROR(__xludf.DUMMYFUNCTION("""COMPUTED_VALUE"""),"LAG 15")</f>
        <v>LAG 15</v>
      </c>
      <c r="D706" s="2">
        <f>IFERROR(__xludf.DUMMYFUNCTION("""COMPUTED_VALUE"""),20.0)</f>
        <v>20</v>
      </c>
      <c r="E706" s="2" t="str">
        <f>IFERROR(__xludf.DUMMYFUNCTION("""COMPUTED_VALUE"""),"Herrelag")</f>
        <v>Herrelag</v>
      </c>
    </row>
    <row r="707" ht="15.75" customHeight="1">
      <c r="A707" s="18">
        <f>IFERROR(__xludf.DUMMYFUNCTION("""COMPUTED_VALUE"""),45857.585732673615)</f>
        <v>45857.58573</v>
      </c>
      <c r="B707" s="2" t="str">
        <f>IFERROR(__xludf.DUMMYFUNCTION("""COMPUTED_VALUE"""),"Post 7")</f>
        <v>Post 7</v>
      </c>
      <c r="C707" s="2" t="str">
        <f>IFERROR(__xludf.DUMMYFUNCTION("""COMPUTED_VALUE"""),"LAG 64")</f>
        <v>LAG 64</v>
      </c>
      <c r="D707" s="2">
        <f>IFERROR(__xludf.DUMMYFUNCTION("""COMPUTED_VALUE"""),10.0)</f>
        <v>10</v>
      </c>
      <c r="E707" s="2" t="str">
        <f>IFERROR(__xludf.DUMMYFUNCTION("""COMPUTED_VALUE"""),"Damelag")</f>
        <v>Damelag</v>
      </c>
    </row>
    <row r="708" ht="15.75" customHeight="1">
      <c r="A708" s="18">
        <f>IFERROR(__xludf.DUMMYFUNCTION("""COMPUTED_VALUE"""),45857.58586914351)</f>
        <v>45857.58587</v>
      </c>
      <c r="B708" s="2" t="str">
        <f>IFERROR(__xludf.DUMMYFUNCTION("""COMPUTED_VALUE"""),"Post 19")</f>
        <v>Post 19</v>
      </c>
      <c r="C708" s="2" t="str">
        <f>IFERROR(__xludf.DUMMYFUNCTION("""COMPUTED_VALUE"""),"LAG 17")</f>
        <v>LAG 17</v>
      </c>
      <c r="D708" s="2">
        <f>IFERROR(__xludf.DUMMYFUNCTION("""COMPUTED_VALUE"""),10.0)</f>
        <v>10</v>
      </c>
      <c r="E708" s="2" t="str">
        <f>IFERROR(__xludf.DUMMYFUNCTION("""COMPUTED_VALUE"""),"Damelag")</f>
        <v>Damelag</v>
      </c>
    </row>
    <row r="709" ht="15.75" customHeight="1">
      <c r="A709" s="18">
        <f>IFERROR(__xludf.DUMMYFUNCTION("""COMPUTED_VALUE"""),45857.58596650463)</f>
        <v>45857.58597</v>
      </c>
      <c r="B709" s="2" t="str">
        <f>IFERROR(__xludf.DUMMYFUNCTION("""COMPUTED_VALUE"""),"Post 7")</f>
        <v>Post 7</v>
      </c>
      <c r="C709" s="2" t="str">
        <f>IFERROR(__xludf.DUMMYFUNCTION("""COMPUTED_VALUE"""),"LAG 65")</f>
        <v>LAG 65</v>
      </c>
      <c r="D709" s="2">
        <f>IFERROR(__xludf.DUMMYFUNCTION("""COMPUTED_VALUE"""),5.0)</f>
        <v>5</v>
      </c>
      <c r="E709" s="2" t="str">
        <f>IFERROR(__xludf.DUMMYFUNCTION("""COMPUTED_VALUE"""),"Mixlag")</f>
        <v>Mixlag</v>
      </c>
    </row>
    <row r="710" ht="15.75" customHeight="1">
      <c r="A710" s="18">
        <f>IFERROR(__xludf.DUMMYFUNCTION("""COMPUTED_VALUE"""),45857.58596694445)</f>
        <v>45857.58597</v>
      </c>
      <c r="B710" s="2" t="str">
        <f>IFERROR(__xludf.DUMMYFUNCTION("""COMPUTED_VALUE"""),"Post 7")</f>
        <v>Post 7</v>
      </c>
      <c r="C710" s="2" t="str">
        <f>IFERROR(__xludf.DUMMYFUNCTION("""COMPUTED_VALUE"""),"LAG 17")</f>
        <v>LAG 17</v>
      </c>
      <c r="D710" s="2">
        <f>IFERROR(__xludf.DUMMYFUNCTION("""COMPUTED_VALUE"""),10.0)</f>
        <v>10</v>
      </c>
      <c r="E710" s="2" t="str">
        <f>IFERROR(__xludf.DUMMYFUNCTION("""COMPUTED_VALUE"""),"Damelag")</f>
        <v>Damelag</v>
      </c>
    </row>
    <row r="711" ht="15.75" customHeight="1">
      <c r="A711" s="18">
        <f>IFERROR(__xludf.DUMMYFUNCTION("""COMPUTED_VALUE"""),45857.585968750005)</f>
        <v>45857.58597</v>
      </c>
      <c r="B711" s="2" t="str">
        <f>IFERROR(__xludf.DUMMYFUNCTION("""COMPUTED_VALUE"""),"Post 16")</f>
        <v>Post 16</v>
      </c>
      <c r="C711" s="2" t="str">
        <f>IFERROR(__xludf.DUMMYFUNCTION("""COMPUTED_VALUE"""),"LAG 72")</f>
        <v>LAG 72</v>
      </c>
      <c r="D711" s="2">
        <f>IFERROR(__xludf.DUMMYFUNCTION("""COMPUTED_VALUE"""),26.0)</f>
        <v>26</v>
      </c>
      <c r="E711" s="2" t="str">
        <f>IFERROR(__xludf.DUMMYFUNCTION("""COMPUTED_VALUE"""),"Herrelag")</f>
        <v>Herrelag</v>
      </c>
    </row>
    <row r="712" ht="15.75" customHeight="1">
      <c r="A712" s="18">
        <f>IFERROR(__xludf.DUMMYFUNCTION("""COMPUTED_VALUE"""),45857.5860469676)</f>
        <v>45857.58605</v>
      </c>
      <c r="B712" s="2" t="str">
        <f>IFERROR(__xludf.DUMMYFUNCTION("""COMPUTED_VALUE"""),"Post 19")</f>
        <v>Post 19</v>
      </c>
      <c r="C712" s="2" t="str">
        <f>IFERROR(__xludf.DUMMYFUNCTION("""COMPUTED_VALUE"""),"LAG 62")</f>
        <v>LAG 62</v>
      </c>
      <c r="D712" s="2">
        <f>IFERROR(__xludf.DUMMYFUNCTION("""COMPUTED_VALUE"""),12.0)</f>
        <v>12</v>
      </c>
      <c r="E712" s="2" t="str">
        <f>IFERROR(__xludf.DUMMYFUNCTION("""COMPUTED_VALUE"""),"Mixlag")</f>
        <v>Mixlag</v>
      </c>
    </row>
    <row r="713" ht="15.75" customHeight="1">
      <c r="A713" s="18">
        <f>IFERROR(__xludf.DUMMYFUNCTION("""COMPUTED_VALUE"""),45857.58610299768)</f>
        <v>45857.5861</v>
      </c>
      <c r="B713" s="2" t="str">
        <f>IFERROR(__xludf.DUMMYFUNCTION("""COMPUTED_VALUE"""),"Post 16")</f>
        <v>Post 16</v>
      </c>
      <c r="C713" s="2" t="str">
        <f>IFERROR(__xludf.DUMMYFUNCTION("""COMPUTED_VALUE"""),"LAG 11")</f>
        <v>LAG 11</v>
      </c>
      <c r="D713" s="2">
        <f>IFERROR(__xludf.DUMMYFUNCTION("""COMPUTED_VALUE"""),20.0)</f>
        <v>20</v>
      </c>
      <c r="E713" s="2" t="str">
        <f>IFERROR(__xludf.DUMMYFUNCTION("""COMPUTED_VALUE"""),"Mixlag")</f>
        <v>Mixlag</v>
      </c>
    </row>
    <row r="714" ht="15.75" customHeight="1">
      <c r="A714" s="18">
        <f>IFERROR(__xludf.DUMMYFUNCTION("""COMPUTED_VALUE"""),45857.58614351852)</f>
        <v>45857.58614</v>
      </c>
      <c r="B714" s="2" t="str">
        <f>IFERROR(__xludf.DUMMYFUNCTION("""COMPUTED_VALUE"""),"Post 19")</f>
        <v>Post 19</v>
      </c>
      <c r="C714" s="2" t="str">
        <f>IFERROR(__xludf.DUMMYFUNCTION("""COMPUTED_VALUE"""),"LAG 20")</f>
        <v>LAG 20</v>
      </c>
      <c r="D714" s="2">
        <f>IFERROR(__xludf.DUMMYFUNCTION("""COMPUTED_VALUE"""),12.0)</f>
        <v>12</v>
      </c>
      <c r="E714" s="2" t="str">
        <f>IFERROR(__xludf.DUMMYFUNCTION("""COMPUTED_VALUE"""),"Damelag")</f>
        <v>Damelag</v>
      </c>
    </row>
    <row r="715" ht="15.75" customHeight="1">
      <c r="A715" s="18">
        <f>IFERROR(__xludf.DUMMYFUNCTION("""COMPUTED_VALUE"""),45857.58614377315)</f>
        <v>45857.58614</v>
      </c>
      <c r="B715" s="2" t="str">
        <f>IFERROR(__xludf.DUMMYFUNCTION("""COMPUTED_VALUE"""),"Post 7")</f>
        <v>Post 7</v>
      </c>
      <c r="C715" s="2" t="str">
        <f>IFERROR(__xludf.DUMMYFUNCTION("""COMPUTED_VALUE"""),"LAG 18")</f>
        <v>LAG 18</v>
      </c>
      <c r="D715" s="2">
        <f>IFERROR(__xludf.DUMMYFUNCTION("""COMPUTED_VALUE"""),10.0)</f>
        <v>10</v>
      </c>
      <c r="E715" s="2" t="str">
        <f>IFERROR(__xludf.DUMMYFUNCTION("""COMPUTED_VALUE"""),"Damelag")</f>
        <v>Damelag</v>
      </c>
    </row>
    <row r="716" ht="15.75" customHeight="1">
      <c r="A716" s="18">
        <f>IFERROR(__xludf.DUMMYFUNCTION("""COMPUTED_VALUE"""),45857.586160335646)</f>
        <v>45857.58616</v>
      </c>
      <c r="B716" s="2" t="str">
        <f>IFERROR(__xludf.DUMMYFUNCTION("""COMPUTED_VALUE"""),"Post 7")</f>
        <v>Post 7</v>
      </c>
      <c r="C716" s="2" t="str">
        <f>IFERROR(__xludf.DUMMYFUNCTION("""COMPUTED_VALUE"""),"LAG 67")</f>
        <v>LAG 67</v>
      </c>
      <c r="D716" s="2">
        <f>IFERROR(__xludf.DUMMYFUNCTION("""COMPUTED_VALUE"""),10.0)</f>
        <v>10</v>
      </c>
      <c r="E716" s="2" t="str">
        <f>IFERROR(__xludf.DUMMYFUNCTION("""COMPUTED_VALUE"""),"Damelag")</f>
        <v>Damelag</v>
      </c>
    </row>
    <row r="717" ht="15.75" customHeight="1">
      <c r="A717" s="18">
        <f>IFERROR(__xludf.DUMMYFUNCTION("""COMPUTED_VALUE"""),45857.586353101855)</f>
        <v>45857.58635</v>
      </c>
      <c r="B717" s="2" t="str">
        <f>IFERROR(__xludf.DUMMYFUNCTION("""COMPUTED_VALUE"""),"Post 7")</f>
        <v>Post 7</v>
      </c>
      <c r="C717" s="2" t="str">
        <f>IFERROR(__xludf.DUMMYFUNCTION("""COMPUTED_VALUE"""),"LAG 19")</f>
        <v>LAG 19</v>
      </c>
      <c r="D717" s="2">
        <f>IFERROR(__xludf.DUMMYFUNCTION("""COMPUTED_VALUE"""),15.0)</f>
        <v>15</v>
      </c>
      <c r="E717" s="2" t="str">
        <f>IFERROR(__xludf.DUMMYFUNCTION("""COMPUTED_VALUE"""),"Herrelag")</f>
        <v>Herrelag</v>
      </c>
    </row>
    <row r="718" ht="15.75" customHeight="1">
      <c r="A718" s="18">
        <f>IFERROR(__xludf.DUMMYFUNCTION("""COMPUTED_VALUE"""),45857.58636295139)</f>
        <v>45857.58636</v>
      </c>
      <c r="B718" s="2" t="str">
        <f>IFERROR(__xludf.DUMMYFUNCTION("""COMPUTED_VALUE"""),"Post 19")</f>
        <v>Post 19</v>
      </c>
      <c r="C718" s="2" t="str">
        <f>IFERROR(__xludf.DUMMYFUNCTION("""COMPUTED_VALUE"""),"LAG 65")</f>
        <v>LAG 65</v>
      </c>
      <c r="D718" s="2">
        <f>IFERROR(__xludf.DUMMYFUNCTION("""COMPUTED_VALUE"""),14.0)</f>
        <v>14</v>
      </c>
      <c r="E718" s="2" t="str">
        <f>IFERROR(__xludf.DUMMYFUNCTION("""COMPUTED_VALUE"""),"Mixlag")</f>
        <v>Mixlag</v>
      </c>
    </row>
    <row r="719" ht="15.75" customHeight="1">
      <c r="A719" s="18">
        <f>IFERROR(__xludf.DUMMYFUNCTION("""COMPUTED_VALUE"""),45857.58639719908)</f>
        <v>45857.5864</v>
      </c>
      <c r="B719" s="2" t="str">
        <f>IFERROR(__xludf.DUMMYFUNCTION("""COMPUTED_VALUE"""),"Post 19")</f>
        <v>Post 19</v>
      </c>
      <c r="C719" s="2" t="str">
        <f>IFERROR(__xludf.DUMMYFUNCTION("""COMPUTED_VALUE"""),"LAG 21")</f>
        <v>LAG 21</v>
      </c>
      <c r="D719" s="2">
        <f>IFERROR(__xludf.DUMMYFUNCTION("""COMPUTED_VALUE"""),10.0)</f>
        <v>10</v>
      </c>
      <c r="E719" s="2" t="str">
        <f>IFERROR(__xludf.DUMMYFUNCTION("""COMPUTED_VALUE"""),"Damelag")</f>
        <v>Damelag</v>
      </c>
    </row>
    <row r="720" ht="15.75" customHeight="1">
      <c r="A720" s="18">
        <f>IFERROR(__xludf.DUMMYFUNCTION("""COMPUTED_VALUE"""),45857.58648027778)</f>
        <v>45857.58648</v>
      </c>
      <c r="B720" s="2" t="str">
        <f>IFERROR(__xludf.DUMMYFUNCTION("""COMPUTED_VALUE"""),"Post 7")</f>
        <v>Post 7</v>
      </c>
      <c r="C720" s="2" t="str">
        <f>IFERROR(__xludf.DUMMYFUNCTION("""COMPUTED_VALUE"""),"LAG 68")</f>
        <v>LAG 68</v>
      </c>
      <c r="D720" s="2">
        <f>IFERROR(__xludf.DUMMYFUNCTION("""COMPUTED_VALUE"""),15.0)</f>
        <v>15</v>
      </c>
      <c r="E720" s="2" t="str">
        <f>IFERROR(__xludf.DUMMYFUNCTION("""COMPUTED_VALUE"""),"Herrelag")</f>
        <v>Herrelag</v>
      </c>
    </row>
    <row r="721" ht="15.75" customHeight="1">
      <c r="A721" s="18">
        <f>IFERROR(__xludf.DUMMYFUNCTION("""COMPUTED_VALUE"""),45857.58656056713)</f>
        <v>45857.58656</v>
      </c>
      <c r="B721" s="2" t="str">
        <f>IFERROR(__xludf.DUMMYFUNCTION("""COMPUTED_VALUE"""),"Post 7")</f>
        <v>Post 7</v>
      </c>
      <c r="C721" s="2" t="str">
        <f>IFERROR(__xludf.DUMMYFUNCTION("""COMPUTED_VALUE"""),"LAG 20")</f>
        <v>LAG 20</v>
      </c>
      <c r="D721" s="2">
        <f>IFERROR(__xludf.DUMMYFUNCTION("""COMPUTED_VALUE"""),10.0)</f>
        <v>10</v>
      </c>
      <c r="E721" s="2" t="str">
        <f>IFERROR(__xludf.DUMMYFUNCTION("""COMPUTED_VALUE"""),"Damelag")</f>
        <v>Damelag</v>
      </c>
    </row>
    <row r="722" ht="15.75" customHeight="1">
      <c r="A722" s="18">
        <f>IFERROR(__xludf.DUMMYFUNCTION("""COMPUTED_VALUE"""),45857.586566342594)</f>
        <v>45857.58657</v>
      </c>
      <c r="B722" s="2" t="str">
        <f>IFERROR(__xludf.DUMMYFUNCTION("""COMPUTED_VALUE"""),"Post 16")</f>
        <v>Post 16</v>
      </c>
      <c r="C722" s="2" t="str">
        <f>IFERROR(__xludf.DUMMYFUNCTION("""COMPUTED_VALUE"""),"LAG 11")</f>
        <v>LAG 11</v>
      </c>
      <c r="D722" s="2">
        <f>IFERROR(__xludf.DUMMYFUNCTION("""COMPUTED_VALUE"""),20.0)</f>
        <v>20</v>
      </c>
      <c r="E722" s="2" t="str">
        <f>IFERROR(__xludf.DUMMYFUNCTION("""COMPUTED_VALUE"""),"Mixlag")</f>
        <v>Mixlag</v>
      </c>
    </row>
    <row r="723" ht="15.75" customHeight="1">
      <c r="A723" s="18">
        <f>IFERROR(__xludf.DUMMYFUNCTION("""COMPUTED_VALUE"""),45857.586755543976)</f>
        <v>45857.58676</v>
      </c>
      <c r="B723" s="2" t="str">
        <f>IFERROR(__xludf.DUMMYFUNCTION("""COMPUTED_VALUE"""),"Post 7")</f>
        <v>Post 7</v>
      </c>
      <c r="C723" s="2" t="str">
        <f>IFERROR(__xludf.DUMMYFUNCTION("""COMPUTED_VALUE"""),"LAG 21")</f>
        <v>LAG 21</v>
      </c>
      <c r="D723" s="2">
        <f>IFERROR(__xludf.DUMMYFUNCTION("""COMPUTED_VALUE"""),15.0)</f>
        <v>15</v>
      </c>
      <c r="E723" s="2" t="str">
        <f>IFERROR(__xludf.DUMMYFUNCTION("""COMPUTED_VALUE"""),"Damelag")</f>
        <v>Damelag</v>
      </c>
    </row>
    <row r="724" ht="15.75" customHeight="1">
      <c r="A724" s="18">
        <f>IFERROR(__xludf.DUMMYFUNCTION("""COMPUTED_VALUE"""),45857.58675997685)</f>
        <v>45857.58676</v>
      </c>
      <c r="B724" s="2" t="str">
        <f>IFERROR(__xludf.DUMMYFUNCTION("""COMPUTED_VALUE"""),"Post 16")</f>
        <v>Post 16</v>
      </c>
      <c r="C724" s="2" t="str">
        <f>IFERROR(__xludf.DUMMYFUNCTION("""COMPUTED_VALUE"""),"LAG 67")</f>
        <v>LAG 67</v>
      </c>
      <c r="D724" s="2">
        <f>IFERROR(__xludf.DUMMYFUNCTION("""COMPUTED_VALUE"""),21.0)</f>
        <v>21</v>
      </c>
      <c r="E724" s="2" t="str">
        <f>IFERROR(__xludf.DUMMYFUNCTION("""COMPUTED_VALUE"""),"Damelag")</f>
        <v>Damelag</v>
      </c>
    </row>
    <row r="725" ht="15.75" customHeight="1">
      <c r="A725" s="18">
        <f>IFERROR(__xludf.DUMMYFUNCTION("""COMPUTED_VALUE"""),45857.586786631946)</f>
        <v>45857.58679</v>
      </c>
      <c r="B725" s="2" t="str">
        <f>IFERROR(__xludf.DUMMYFUNCTION("""COMPUTED_VALUE"""),"Post 19")</f>
        <v>Post 19</v>
      </c>
      <c r="C725" s="2" t="str">
        <f>IFERROR(__xludf.DUMMYFUNCTION("""COMPUTED_VALUE"""),"LAG 22")</f>
        <v>LAG 22</v>
      </c>
      <c r="D725" s="2">
        <f>IFERROR(__xludf.DUMMYFUNCTION("""COMPUTED_VALUE"""),8.0)</f>
        <v>8</v>
      </c>
      <c r="E725" s="2" t="str">
        <f>IFERROR(__xludf.DUMMYFUNCTION("""COMPUTED_VALUE"""),"Damelag")</f>
        <v>Damelag</v>
      </c>
    </row>
    <row r="726" ht="15.75" customHeight="1">
      <c r="A726" s="18">
        <f>IFERROR(__xludf.DUMMYFUNCTION("""COMPUTED_VALUE"""),45857.58680613426)</f>
        <v>45857.58681</v>
      </c>
      <c r="B726" s="2" t="str">
        <f>IFERROR(__xludf.DUMMYFUNCTION("""COMPUTED_VALUE"""),"Post 19")</f>
        <v>Post 19</v>
      </c>
      <c r="C726" s="2" t="str">
        <f>IFERROR(__xludf.DUMMYFUNCTION("""COMPUTED_VALUE"""),"LAG 66")</f>
        <v>LAG 66</v>
      </c>
      <c r="D726" s="2">
        <f>IFERROR(__xludf.DUMMYFUNCTION("""COMPUTED_VALUE"""),16.0)</f>
        <v>16</v>
      </c>
      <c r="E726" s="2" t="str">
        <f>IFERROR(__xludf.DUMMYFUNCTION("""COMPUTED_VALUE"""),"Damelag")</f>
        <v>Damelag</v>
      </c>
    </row>
    <row r="727" ht="15.75" customHeight="1">
      <c r="A727" s="18">
        <f>IFERROR(__xludf.DUMMYFUNCTION("""COMPUTED_VALUE"""),45857.58681965277)</f>
        <v>45857.58682</v>
      </c>
      <c r="B727" s="2" t="str">
        <f>IFERROR(__xludf.DUMMYFUNCTION("""COMPUTED_VALUE"""),"Post 7")</f>
        <v>Post 7</v>
      </c>
      <c r="C727" s="2" t="str">
        <f>IFERROR(__xludf.DUMMYFUNCTION("""COMPUTED_VALUE"""),"LAG 70")</f>
        <v>LAG 70</v>
      </c>
      <c r="D727" s="2">
        <f>IFERROR(__xludf.DUMMYFUNCTION("""COMPUTED_VALUE"""),10.0)</f>
        <v>10</v>
      </c>
      <c r="E727" s="2" t="str">
        <f>IFERROR(__xludf.DUMMYFUNCTION("""COMPUTED_VALUE"""),"Mixlag")</f>
        <v>Mixlag</v>
      </c>
    </row>
    <row r="728" ht="15.75" customHeight="1">
      <c r="A728" s="18">
        <f>IFERROR(__xludf.DUMMYFUNCTION("""COMPUTED_VALUE"""),45857.586921724534)</f>
        <v>45857.58692</v>
      </c>
      <c r="B728" s="2" t="str">
        <f>IFERROR(__xludf.DUMMYFUNCTION("""COMPUTED_VALUE"""),"Post 16")</f>
        <v>Post 16</v>
      </c>
      <c r="C728" s="2" t="str">
        <f>IFERROR(__xludf.DUMMYFUNCTION("""COMPUTED_VALUE"""),"LAG 35")</f>
        <v>LAG 35</v>
      </c>
      <c r="D728" s="2">
        <f>IFERROR(__xludf.DUMMYFUNCTION("""COMPUTED_VALUE"""),17.0)</f>
        <v>17</v>
      </c>
      <c r="E728" s="2" t="str">
        <f>IFERROR(__xludf.DUMMYFUNCTION("""COMPUTED_VALUE"""),"Damelag")</f>
        <v>Damelag</v>
      </c>
    </row>
    <row r="729" ht="15.75" customHeight="1">
      <c r="A729" s="18">
        <f>IFERROR(__xludf.DUMMYFUNCTION("""COMPUTED_VALUE"""),45857.58702582176)</f>
        <v>45857.58703</v>
      </c>
      <c r="B729" s="2" t="str">
        <f>IFERROR(__xludf.DUMMYFUNCTION("""COMPUTED_VALUE"""),"Post 7")</f>
        <v>Post 7</v>
      </c>
      <c r="C729" s="2" t="str">
        <f>IFERROR(__xludf.DUMMYFUNCTION("""COMPUTED_VALUE"""),"LAG 72")</f>
        <v>LAG 72</v>
      </c>
      <c r="D729" s="2">
        <f>IFERROR(__xludf.DUMMYFUNCTION("""COMPUTED_VALUE"""),20.0)</f>
        <v>20</v>
      </c>
      <c r="E729" s="2" t="str">
        <f>IFERROR(__xludf.DUMMYFUNCTION("""COMPUTED_VALUE"""),"Herrelag")</f>
        <v>Herrelag</v>
      </c>
    </row>
    <row r="730" ht="15.75" customHeight="1">
      <c r="A730" s="18">
        <f>IFERROR(__xludf.DUMMYFUNCTION("""COMPUTED_VALUE"""),45857.58704997685)</f>
        <v>45857.58705</v>
      </c>
      <c r="B730" s="2" t="str">
        <f>IFERROR(__xludf.DUMMYFUNCTION("""COMPUTED_VALUE"""),"Post 7")</f>
        <v>Post 7</v>
      </c>
      <c r="C730" s="2" t="str">
        <f>IFERROR(__xludf.DUMMYFUNCTION("""COMPUTED_VALUE"""),"LAG 24")</f>
        <v>LAG 24</v>
      </c>
      <c r="D730" s="2">
        <f>IFERROR(__xludf.DUMMYFUNCTION("""COMPUTED_VALUE"""),15.0)</f>
        <v>15</v>
      </c>
      <c r="E730" s="2" t="str">
        <f>IFERROR(__xludf.DUMMYFUNCTION("""COMPUTED_VALUE"""),"Herrelag")</f>
        <v>Herrelag</v>
      </c>
    </row>
    <row r="731" ht="15.75" customHeight="1">
      <c r="A731" s="18">
        <f>IFERROR(__xludf.DUMMYFUNCTION("""COMPUTED_VALUE"""),45857.58705553241)</f>
        <v>45857.58706</v>
      </c>
      <c r="B731" s="2" t="str">
        <f>IFERROR(__xludf.DUMMYFUNCTION("""COMPUTED_VALUE"""),"Post 19")</f>
        <v>Post 19</v>
      </c>
      <c r="C731" s="2" t="str">
        <f>IFERROR(__xludf.DUMMYFUNCTION("""COMPUTED_VALUE"""),"LAG 26")</f>
        <v>LAG 26</v>
      </c>
      <c r="D731" s="2">
        <f>IFERROR(__xludf.DUMMYFUNCTION("""COMPUTED_VALUE"""),16.0)</f>
        <v>16</v>
      </c>
      <c r="E731" s="2" t="str">
        <f>IFERROR(__xludf.DUMMYFUNCTION("""COMPUTED_VALUE"""),"Damelag")</f>
        <v>Damelag</v>
      </c>
    </row>
    <row r="732" ht="15.75" customHeight="1">
      <c r="A732" s="18">
        <f>IFERROR(__xludf.DUMMYFUNCTION("""COMPUTED_VALUE"""),45857.58718884259)</f>
        <v>45857.58719</v>
      </c>
      <c r="B732" s="2" t="str">
        <f>IFERROR(__xludf.DUMMYFUNCTION("""COMPUTED_VALUE"""),"Post 16")</f>
        <v>Post 16</v>
      </c>
      <c r="C732" s="2" t="str">
        <f>IFERROR(__xludf.DUMMYFUNCTION("""COMPUTED_VALUE"""),"LAG 62")</f>
        <v>LAG 62</v>
      </c>
      <c r="D732" s="2">
        <f>IFERROR(__xludf.DUMMYFUNCTION("""COMPUTED_VALUE"""),18.0)</f>
        <v>18</v>
      </c>
      <c r="E732" s="2" t="str">
        <f>IFERROR(__xludf.DUMMYFUNCTION("""COMPUTED_VALUE"""),"Mixlag")</f>
        <v>Mixlag</v>
      </c>
    </row>
    <row r="733" ht="15.75" customHeight="1">
      <c r="A733" s="18">
        <f>IFERROR(__xludf.DUMMYFUNCTION("""COMPUTED_VALUE"""),45857.587201319446)</f>
        <v>45857.5872</v>
      </c>
      <c r="B733" s="2" t="str">
        <f>IFERROR(__xludf.DUMMYFUNCTION("""COMPUTED_VALUE"""),"Post 19")</f>
        <v>Post 19</v>
      </c>
      <c r="C733" s="2" t="str">
        <f>IFERROR(__xludf.DUMMYFUNCTION("""COMPUTED_VALUE"""),"LAG 68")</f>
        <v>LAG 68</v>
      </c>
      <c r="D733" s="2">
        <f>IFERROR(__xludf.DUMMYFUNCTION("""COMPUTED_VALUE"""),10.0)</f>
        <v>10</v>
      </c>
      <c r="E733" s="2" t="str">
        <f>IFERROR(__xludf.DUMMYFUNCTION("""COMPUTED_VALUE"""),"Herrelag")</f>
        <v>Herrelag</v>
      </c>
    </row>
    <row r="734" ht="15.75" customHeight="1">
      <c r="A734" s="18">
        <f>IFERROR(__xludf.DUMMYFUNCTION("""COMPUTED_VALUE"""),45857.587233576385)</f>
        <v>45857.58723</v>
      </c>
      <c r="B734" s="2" t="str">
        <f>IFERROR(__xludf.DUMMYFUNCTION("""COMPUTED_VALUE"""),"Post 7")</f>
        <v>Post 7</v>
      </c>
      <c r="C734" s="2" t="str">
        <f>IFERROR(__xludf.DUMMYFUNCTION("""COMPUTED_VALUE"""),"LAG 25")</f>
        <v>LAG 25</v>
      </c>
      <c r="D734" s="2">
        <f>IFERROR(__xludf.DUMMYFUNCTION("""COMPUTED_VALUE"""),15.0)</f>
        <v>15</v>
      </c>
      <c r="E734" s="2" t="str">
        <f>IFERROR(__xludf.DUMMYFUNCTION("""COMPUTED_VALUE"""),"Herrelag")</f>
        <v>Herrelag</v>
      </c>
    </row>
    <row r="735" ht="15.75" customHeight="1">
      <c r="A735" s="18">
        <f>IFERROR(__xludf.DUMMYFUNCTION("""COMPUTED_VALUE"""),45857.587253101854)</f>
        <v>45857.58725</v>
      </c>
      <c r="B735" s="2" t="str">
        <f>IFERROR(__xludf.DUMMYFUNCTION("""COMPUTED_VALUE"""),"Post 7")</f>
        <v>Post 7</v>
      </c>
      <c r="C735" s="2" t="str">
        <f>IFERROR(__xludf.DUMMYFUNCTION("""COMPUTED_VALUE"""),"LAG 73")</f>
        <v>LAG 73</v>
      </c>
      <c r="D735" s="2">
        <f>IFERROR(__xludf.DUMMYFUNCTION("""COMPUTED_VALUE"""),10.0)</f>
        <v>10</v>
      </c>
      <c r="E735" s="2" t="str">
        <f>IFERROR(__xludf.DUMMYFUNCTION("""COMPUTED_VALUE"""),"Mixlag")</f>
        <v>Mixlag</v>
      </c>
    </row>
    <row r="736" ht="15.75" customHeight="1">
      <c r="A736" s="18">
        <f>IFERROR(__xludf.DUMMYFUNCTION("""COMPUTED_VALUE"""),45857.58730400463)</f>
        <v>45857.5873</v>
      </c>
      <c r="B736" s="2" t="str">
        <f>IFERROR(__xludf.DUMMYFUNCTION("""COMPUTED_VALUE"""),"Post 19")</f>
        <v>Post 19</v>
      </c>
      <c r="C736" s="2" t="str">
        <f>IFERROR(__xludf.DUMMYFUNCTION("""COMPUTED_VALUE"""),"LAG 32")</f>
        <v>LAG 32</v>
      </c>
      <c r="D736" s="2">
        <f>IFERROR(__xludf.DUMMYFUNCTION("""COMPUTED_VALUE"""),16.0)</f>
        <v>16</v>
      </c>
      <c r="E736" s="2" t="str">
        <f>IFERROR(__xludf.DUMMYFUNCTION("""COMPUTED_VALUE"""),"Damelag")</f>
        <v>Damelag</v>
      </c>
    </row>
    <row r="737" ht="15.75" customHeight="1">
      <c r="A737" s="18">
        <f>IFERROR(__xludf.DUMMYFUNCTION("""COMPUTED_VALUE"""),45857.58740752315)</f>
        <v>45857.58741</v>
      </c>
      <c r="B737" s="2" t="str">
        <f>IFERROR(__xludf.DUMMYFUNCTION("""COMPUTED_VALUE"""),"Post 16")</f>
        <v>Post 16</v>
      </c>
      <c r="C737" s="2" t="str">
        <f>IFERROR(__xludf.DUMMYFUNCTION("""COMPUTED_VALUE"""),"LAG 84")</f>
        <v>LAG 84</v>
      </c>
      <c r="D737" s="2">
        <f>IFERROR(__xludf.DUMMYFUNCTION("""COMPUTED_VALUE"""),24.0)</f>
        <v>24</v>
      </c>
      <c r="E737" s="2" t="str">
        <f>IFERROR(__xludf.DUMMYFUNCTION("""COMPUTED_VALUE"""),"Herrelag")</f>
        <v>Herrelag</v>
      </c>
    </row>
    <row r="738" ht="15.75" customHeight="1">
      <c r="A738" s="18">
        <f>IFERROR(__xludf.DUMMYFUNCTION("""COMPUTED_VALUE"""),45857.587443171295)</f>
        <v>45857.58744</v>
      </c>
      <c r="B738" s="2" t="str">
        <f>IFERROR(__xludf.DUMMYFUNCTION("""COMPUTED_VALUE"""),"Post 7")</f>
        <v>Post 7</v>
      </c>
      <c r="C738" s="2" t="str">
        <f>IFERROR(__xludf.DUMMYFUNCTION("""COMPUTED_VALUE"""),"LAG 26")</f>
        <v>LAG 26</v>
      </c>
      <c r="D738" s="2">
        <f>IFERROR(__xludf.DUMMYFUNCTION("""COMPUTED_VALUE"""),5.0)</f>
        <v>5</v>
      </c>
      <c r="E738" s="2" t="str">
        <f>IFERROR(__xludf.DUMMYFUNCTION("""COMPUTED_VALUE"""),"Damelag")</f>
        <v>Damelag</v>
      </c>
    </row>
    <row r="739" ht="15.75" customHeight="1">
      <c r="A739" s="18">
        <f>IFERROR(__xludf.DUMMYFUNCTION("""COMPUTED_VALUE"""),45857.58757741898)</f>
        <v>45857.58758</v>
      </c>
      <c r="B739" s="2" t="str">
        <f>IFERROR(__xludf.DUMMYFUNCTION("""COMPUTED_VALUE"""),"Post 19")</f>
        <v>Post 19</v>
      </c>
      <c r="C739" s="2" t="str">
        <f>IFERROR(__xludf.DUMMYFUNCTION("""COMPUTED_VALUE"""),"LAG 34")</f>
        <v>LAG 34</v>
      </c>
      <c r="D739" s="2">
        <f>IFERROR(__xludf.DUMMYFUNCTION("""COMPUTED_VALUE"""),10.0)</f>
        <v>10</v>
      </c>
      <c r="E739" s="2" t="str">
        <f>IFERROR(__xludf.DUMMYFUNCTION("""COMPUTED_VALUE"""),"Damelag")</f>
        <v>Damelag</v>
      </c>
    </row>
    <row r="740" ht="15.75" customHeight="1">
      <c r="A740" s="18">
        <f>IFERROR(__xludf.DUMMYFUNCTION("""COMPUTED_VALUE"""),45857.58762501157)</f>
        <v>45857.58763</v>
      </c>
      <c r="B740" s="2" t="str">
        <f>IFERROR(__xludf.DUMMYFUNCTION("""COMPUTED_VALUE"""),"Post 7")</f>
        <v>Post 7</v>
      </c>
      <c r="C740" s="2" t="str">
        <f>IFERROR(__xludf.DUMMYFUNCTION("""COMPUTED_VALUE"""),"LAG 74")</f>
        <v>LAG 74</v>
      </c>
      <c r="D740" s="2">
        <f>IFERROR(__xludf.DUMMYFUNCTION("""COMPUTED_VALUE"""),10.0)</f>
        <v>10</v>
      </c>
      <c r="E740" s="2" t="str">
        <f>IFERROR(__xludf.DUMMYFUNCTION("""COMPUTED_VALUE"""),"Damelag")</f>
        <v>Damelag</v>
      </c>
    </row>
    <row r="741" ht="15.75" customHeight="1">
      <c r="A741" s="18">
        <f>IFERROR(__xludf.DUMMYFUNCTION("""COMPUTED_VALUE"""),45857.58767862269)</f>
        <v>45857.58768</v>
      </c>
      <c r="B741" s="2" t="str">
        <f>IFERROR(__xludf.DUMMYFUNCTION("""COMPUTED_VALUE"""),"Post 7")</f>
        <v>Post 7</v>
      </c>
      <c r="C741" s="2" t="str">
        <f>IFERROR(__xludf.DUMMYFUNCTION("""COMPUTED_VALUE"""),"LAG 30")</f>
        <v>LAG 30</v>
      </c>
      <c r="D741" s="2">
        <f>IFERROR(__xludf.DUMMYFUNCTION("""COMPUTED_VALUE"""),10.0)</f>
        <v>10</v>
      </c>
      <c r="E741" s="2" t="str">
        <f>IFERROR(__xludf.DUMMYFUNCTION("""COMPUTED_VALUE"""),"Damelag")</f>
        <v>Damelag</v>
      </c>
    </row>
    <row r="742" ht="15.75" customHeight="1">
      <c r="A742" s="18">
        <f>IFERROR(__xludf.DUMMYFUNCTION("""COMPUTED_VALUE"""),45857.58777832176)</f>
        <v>45857.58778</v>
      </c>
      <c r="B742" s="2" t="str">
        <f>IFERROR(__xludf.DUMMYFUNCTION("""COMPUTED_VALUE"""),"Post 19")</f>
        <v>Post 19</v>
      </c>
      <c r="C742" s="2" t="str">
        <f>IFERROR(__xludf.DUMMYFUNCTION("""COMPUTED_VALUE"""),"LAG 72")</f>
        <v>LAG 72</v>
      </c>
      <c r="D742" s="2">
        <f>IFERROR(__xludf.DUMMYFUNCTION("""COMPUTED_VALUE"""),12.0)</f>
        <v>12</v>
      </c>
      <c r="E742" s="2" t="str">
        <f>IFERROR(__xludf.DUMMYFUNCTION("""COMPUTED_VALUE"""),"Herrelag")</f>
        <v>Herrelag</v>
      </c>
    </row>
    <row r="743" ht="15.75" customHeight="1">
      <c r="A743" s="18">
        <f>IFERROR(__xludf.DUMMYFUNCTION("""COMPUTED_VALUE"""),45857.587830613425)</f>
        <v>45857.58783</v>
      </c>
      <c r="B743" s="2" t="str">
        <f>IFERROR(__xludf.DUMMYFUNCTION("""COMPUTED_VALUE"""),"Post 7")</f>
        <v>Post 7</v>
      </c>
      <c r="C743" s="2" t="str">
        <f>IFERROR(__xludf.DUMMYFUNCTION("""COMPUTED_VALUE"""),"LAG 75")</f>
        <v>LAG 75</v>
      </c>
      <c r="D743" s="2">
        <f>IFERROR(__xludf.DUMMYFUNCTION("""COMPUTED_VALUE"""),15.0)</f>
        <v>15</v>
      </c>
      <c r="E743" s="2" t="str">
        <f>IFERROR(__xludf.DUMMYFUNCTION("""COMPUTED_VALUE"""),"Herrelag")</f>
        <v>Herrelag</v>
      </c>
    </row>
    <row r="744" ht="15.75" customHeight="1">
      <c r="A744" s="18">
        <f>IFERROR(__xludf.DUMMYFUNCTION("""COMPUTED_VALUE"""),45857.5878321412)</f>
        <v>45857.58783</v>
      </c>
      <c r="B744" s="2" t="str">
        <f>IFERROR(__xludf.DUMMYFUNCTION("""COMPUTED_VALUE"""),"Post 19")</f>
        <v>Post 19</v>
      </c>
      <c r="C744" s="2" t="str">
        <f>IFERROR(__xludf.DUMMYFUNCTION("""COMPUTED_VALUE"""),"LAG 37")</f>
        <v>LAG 37</v>
      </c>
      <c r="D744" s="2">
        <f>IFERROR(__xludf.DUMMYFUNCTION("""COMPUTED_VALUE"""),14.0)</f>
        <v>14</v>
      </c>
      <c r="E744" s="2" t="str">
        <f>IFERROR(__xludf.DUMMYFUNCTION("""COMPUTED_VALUE"""),"Herrelag")</f>
        <v>Herrelag</v>
      </c>
    </row>
    <row r="745" ht="15.75" customHeight="1">
      <c r="A745" s="18">
        <f>IFERROR(__xludf.DUMMYFUNCTION("""COMPUTED_VALUE"""),45857.58784878472)</f>
        <v>45857.58785</v>
      </c>
      <c r="B745" s="2" t="str">
        <f>IFERROR(__xludf.DUMMYFUNCTION("""COMPUTED_VALUE"""),"Post 7")</f>
        <v>Post 7</v>
      </c>
      <c r="C745" s="2" t="str">
        <f>IFERROR(__xludf.DUMMYFUNCTION("""COMPUTED_VALUE"""),"LAG 32")</f>
        <v>LAG 32</v>
      </c>
      <c r="D745" s="2">
        <f>IFERROR(__xludf.DUMMYFUNCTION("""COMPUTED_VALUE"""),5.0)</f>
        <v>5</v>
      </c>
      <c r="E745" s="2" t="str">
        <f>IFERROR(__xludf.DUMMYFUNCTION("""COMPUTED_VALUE"""),"Damelag")</f>
        <v>Damelag</v>
      </c>
    </row>
    <row r="746" ht="15.75" customHeight="1">
      <c r="A746" s="18">
        <f>IFERROR(__xludf.DUMMYFUNCTION("""COMPUTED_VALUE"""),45857.58803230324)</f>
        <v>45857.58803</v>
      </c>
      <c r="B746" s="2" t="str">
        <f>IFERROR(__xludf.DUMMYFUNCTION("""COMPUTED_VALUE"""),"Post 7")</f>
        <v>Post 7</v>
      </c>
      <c r="C746" s="2" t="str">
        <f>IFERROR(__xludf.DUMMYFUNCTION("""COMPUTED_VALUE"""),"LAG 33")</f>
        <v>LAG 33</v>
      </c>
      <c r="D746" s="2">
        <f>IFERROR(__xludf.DUMMYFUNCTION("""COMPUTED_VALUE"""),10.0)</f>
        <v>10</v>
      </c>
      <c r="E746" s="2" t="str">
        <f>IFERROR(__xludf.DUMMYFUNCTION("""COMPUTED_VALUE"""),"Herrelag")</f>
        <v>Herrelag</v>
      </c>
    </row>
    <row r="747" ht="15.75" customHeight="1">
      <c r="A747" s="18">
        <f>IFERROR(__xludf.DUMMYFUNCTION("""COMPUTED_VALUE"""),45857.58804729166)</f>
        <v>45857.58805</v>
      </c>
      <c r="B747" s="2" t="str">
        <f>IFERROR(__xludf.DUMMYFUNCTION("""COMPUTED_VALUE"""),"Post 19")</f>
        <v>Post 19</v>
      </c>
      <c r="C747" s="2" t="str">
        <f>IFERROR(__xludf.DUMMYFUNCTION("""COMPUTED_VALUE"""),"LAG 41")</f>
        <v>LAG 41</v>
      </c>
      <c r="D747" s="2">
        <f>IFERROR(__xludf.DUMMYFUNCTION("""COMPUTED_VALUE"""),18.0)</f>
        <v>18</v>
      </c>
      <c r="E747" s="2" t="str">
        <f>IFERROR(__xludf.DUMMYFUNCTION("""COMPUTED_VALUE"""),"Mixlag")</f>
        <v>Mixlag</v>
      </c>
    </row>
    <row r="748" ht="15.75" customHeight="1">
      <c r="A748" s="18">
        <f>IFERROR(__xludf.DUMMYFUNCTION("""COMPUTED_VALUE"""),45857.58805608796)</f>
        <v>45857.58806</v>
      </c>
      <c r="B748" s="2" t="str">
        <f>IFERROR(__xludf.DUMMYFUNCTION("""COMPUTED_VALUE"""),"Post 7")</f>
        <v>Post 7</v>
      </c>
      <c r="C748" s="2" t="str">
        <f>IFERROR(__xludf.DUMMYFUNCTION("""COMPUTED_VALUE"""),"LAG 76")</f>
        <v>LAG 76</v>
      </c>
      <c r="D748" s="2">
        <f>IFERROR(__xludf.DUMMYFUNCTION("""COMPUTED_VALUE"""),10.0)</f>
        <v>10</v>
      </c>
      <c r="E748" s="2" t="str">
        <f>IFERROR(__xludf.DUMMYFUNCTION("""COMPUTED_VALUE"""),"Mixlag")</f>
        <v>Mixlag</v>
      </c>
    </row>
    <row r="749" ht="15.75" customHeight="1">
      <c r="A749" s="18">
        <f>IFERROR(__xludf.DUMMYFUNCTION("""COMPUTED_VALUE"""),45857.58809302084)</f>
        <v>45857.58809</v>
      </c>
      <c r="B749" s="2" t="str">
        <f>IFERROR(__xludf.DUMMYFUNCTION("""COMPUTED_VALUE"""),"Post 19")</f>
        <v>Post 19</v>
      </c>
      <c r="C749" s="2" t="str">
        <f>IFERROR(__xludf.DUMMYFUNCTION("""COMPUTED_VALUE"""),"LAG 73")</f>
        <v>LAG 73</v>
      </c>
      <c r="D749" s="2">
        <f>IFERROR(__xludf.DUMMYFUNCTION("""COMPUTED_VALUE"""),10.0)</f>
        <v>10</v>
      </c>
      <c r="E749" s="2" t="str">
        <f>IFERROR(__xludf.DUMMYFUNCTION("""COMPUTED_VALUE"""),"Mixlag")</f>
        <v>Mixlag</v>
      </c>
    </row>
    <row r="750" ht="15.75" customHeight="1">
      <c r="A750" s="18">
        <f>IFERROR(__xludf.DUMMYFUNCTION("""COMPUTED_VALUE"""),45857.588153703706)</f>
        <v>45857.58815</v>
      </c>
      <c r="B750" s="2" t="str">
        <f>IFERROR(__xludf.DUMMYFUNCTION("""COMPUTED_VALUE"""),"Post 16")</f>
        <v>Post 16</v>
      </c>
      <c r="C750" s="2" t="str">
        <f>IFERROR(__xludf.DUMMYFUNCTION("""COMPUTED_VALUE"""),"LAG 11")</f>
        <v>LAG 11</v>
      </c>
      <c r="D750" s="2">
        <f>IFERROR(__xludf.DUMMYFUNCTION("""COMPUTED_VALUE"""),18.0)</f>
        <v>18</v>
      </c>
      <c r="E750" s="2" t="str">
        <f>IFERROR(__xludf.DUMMYFUNCTION("""COMPUTED_VALUE"""),"Damelag")</f>
        <v>Damelag</v>
      </c>
    </row>
    <row r="751" ht="15.75" customHeight="1">
      <c r="A751" s="18">
        <f>IFERROR(__xludf.DUMMYFUNCTION("""COMPUTED_VALUE"""),45857.588229988425)</f>
        <v>45857.58823</v>
      </c>
      <c r="B751" s="2" t="str">
        <f>IFERROR(__xludf.DUMMYFUNCTION("""COMPUTED_VALUE"""),"Post 7")</f>
        <v>Post 7</v>
      </c>
      <c r="C751" s="2" t="str">
        <f>IFERROR(__xludf.DUMMYFUNCTION("""COMPUTED_VALUE"""),"LAG 34")</f>
        <v>LAG 34</v>
      </c>
      <c r="D751" s="2">
        <f>IFERROR(__xludf.DUMMYFUNCTION("""COMPUTED_VALUE"""),10.0)</f>
        <v>10</v>
      </c>
      <c r="E751" s="2" t="str">
        <f>IFERROR(__xludf.DUMMYFUNCTION("""COMPUTED_VALUE"""),"Damelag")</f>
        <v>Damelag</v>
      </c>
    </row>
    <row r="752" ht="15.75" customHeight="1">
      <c r="A752" s="18">
        <f>IFERROR(__xludf.DUMMYFUNCTION("""COMPUTED_VALUE"""),45857.58824557871)</f>
        <v>45857.58825</v>
      </c>
      <c r="B752" s="2" t="str">
        <f>IFERROR(__xludf.DUMMYFUNCTION("""COMPUTED_VALUE"""),"Post 7")</f>
        <v>Post 7</v>
      </c>
      <c r="C752" s="2" t="str">
        <f>IFERROR(__xludf.DUMMYFUNCTION("""COMPUTED_VALUE"""),"LAG 77")</f>
        <v>LAG 77</v>
      </c>
      <c r="D752" s="2">
        <f>IFERROR(__xludf.DUMMYFUNCTION("""COMPUTED_VALUE"""),5.0)</f>
        <v>5</v>
      </c>
      <c r="E752" s="2" t="str">
        <f>IFERROR(__xludf.DUMMYFUNCTION("""COMPUTED_VALUE"""),"Mixlag")</f>
        <v>Mixlag</v>
      </c>
    </row>
    <row r="753" ht="15.75" customHeight="1">
      <c r="A753" s="18">
        <f>IFERROR(__xludf.DUMMYFUNCTION("""COMPUTED_VALUE"""),45857.58831490741)</f>
        <v>45857.58831</v>
      </c>
      <c r="B753" s="2" t="str">
        <f>IFERROR(__xludf.DUMMYFUNCTION("""COMPUTED_VALUE"""),"Post 19")</f>
        <v>Post 19</v>
      </c>
      <c r="C753" s="2" t="str">
        <f>IFERROR(__xludf.DUMMYFUNCTION("""COMPUTED_VALUE"""),"LAG 45")</f>
        <v>LAG 45</v>
      </c>
      <c r="D753" s="2">
        <f>IFERROR(__xludf.DUMMYFUNCTION("""COMPUTED_VALUE"""),12.0)</f>
        <v>12</v>
      </c>
      <c r="E753" s="2" t="str">
        <f>IFERROR(__xludf.DUMMYFUNCTION("""COMPUTED_VALUE"""),"Damelag")</f>
        <v>Damelag</v>
      </c>
    </row>
    <row r="754" ht="15.75" customHeight="1">
      <c r="A754" s="18">
        <f>IFERROR(__xludf.DUMMYFUNCTION("""COMPUTED_VALUE"""),45857.58836678241)</f>
        <v>45857.58837</v>
      </c>
      <c r="B754" s="2" t="str">
        <f>IFERROR(__xludf.DUMMYFUNCTION("""COMPUTED_VALUE"""),"Post 16")</f>
        <v>Post 16</v>
      </c>
      <c r="C754" s="2" t="str">
        <f>IFERROR(__xludf.DUMMYFUNCTION("""COMPUTED_VALUE"""),"LAG 65")</f>
        <v>LAG 65</v>
      </c>
      <c r="D754" s="2">
        <f>IFERROR(__xludf.DUMMYFUNCTION("""COMPUTED_VALUE"""),24.0)</f>
        <v>24</v>
      </c>
      <c r="E754" s="2" t="str">
        <f>IFERROR(__xludf.DUMMYFUNCTION("""COMPUTED_VALUE"""),"Mixlag")</f>
        <v>Mixlag</v>
      </c>
    </row>
    <row r="755" ht="15.75" customHeight="1">
      <c r="A755" s="18">
        <f>IFERROR(__xludf.DUMMYFUNCTION("""COMPUTED_VALUE"""),45857.588376238426)</f>
        <v>45857.58838</v>
      </c>
      <c r="B755" s="2" t="str">
        <f>IFERROR(__xludf.DUMMYFUNCTION("""COMPUTED_VALUE"""),"Post 19")</f>
        <v>Post 19</v>
      </c>
      <c r="C755" s="2" t="str">
        <f>IFERROR(__xludf.DUMMYFUNCTION("""COMPUTED_VALUE"""),"LAG 74")</f>
        <v>LAG 74</v>
      </c>
      <c r="D755" s="2">
        <f>IFERROR(__xludf.DUMMYFUNCTION("""COMPUTED_VALUE"""),14.0)</f>
        <v>14</v>
      </c>
      <c r="E755" s="2" t="str">
        <f>IFERROR(__xludf.DUMMYFUNCTION("""COMPUTED_VALUE"""),"Damelag")</f>
        <v>Damelag</v>
      </c>
    </row>
    <row r="756" ht="15.75" customHeight="1">
      <c r="A756" s="18">
        <f>IFERROR(__xludf.DUMMYFUNCTION("""COMPUTED_VALUE"""),45857.58842196759)</f>
        <v>45857.58842</v>
      </c>
      <c r="B756" s="2" t="str">
        <f>IFERROR(__xludf.DUMMYFUNCTION("""COMPUTED_VALUE"""),"Post 7")</f>
        <v>Post 7</v>
      </c>
      <c r="C756" s="2" t="str">
        <f>IFERROR(__xludf.DUMMYFUNCTION("""COMPUTED_VALUE"""),"LAG 35")</f>
        <v>LAG 35</v>
      </c>
      <c r="D756" s="2">
        <f>IFERROR(__xludf.DUMMYFUNCTION("""COMPUTED_VALUE"""),20.0)</f>
        <v>20</v>
      </c>
      <c r="E756" s="2" t="str">
        <f>IFERROR(__xludf.DUMMYFUNCTION("""COMPUTED_VALUE"""),"Damelag")</f>
        <v>Damelag</v>
      </c>
    </row>
    <row r="757" ht="15.75" customHeight="1">
      <c r="A757" s="18">
        <f>IFERROR(__xludf.DUMMYFUNCTION("""COMPUTED_VALUE"""),45857.58845565972)</f>
        <v>45857.58846</v>
      </c>
      <c r="B757" s="2" t="str">
        <f>IFERROR(__xludf.DUMMYFUNCTION("""COMPUTED_VALUE"""),"Post 7")</f>
        <v>Post 7</v>
      </c>
      <c r="C757" s="2" t="str">
        <f>IFERROR(__xludf.DUMMYFUNCTION("""COMPUTED_VALUE"""),"LAG 78")</f>
        <v>LAG 78</v>
      </c>
      <c r="D757" s="2">
        <f>IFERROR(__xludf.DUMMYFUNCTION("""COMPUTED_VALUE"""),20.0)</f>
        <v>20</v>
      </c>
      <c r="E757" s="2" t="str">
        <f>IFERROR(__xludf.DUMMYFUNCTION("""COMPUTED_VALUE"""),"Damelag")</f>
        <v>Damelag</v>
      </c>
    </row>
    <row r="758" ht="15.75" customHeight="1">
      <c r="A758" s="18">
        <f>IFERROR(__xludf.DUMMYFUNCTION("""COMPUTED_VALUE"""),45857.588538738426)</f>
        <v>45857.58854</v>
      </c>
      <c r="B758" s="2" t="str">
        <f>IFERROR(__xludf.DUMMYFUNCTION("""COMPUTED_VALUE"""),"Post 19")</f>
        <v>Post 19</v>
      </c>
      <c r="C758" s="2" t="str">
        <f>IFERROR(__xludf.DUMMYFUNCTION("""COMPUTED_VALUE"""),"LAG 48")</f>
        <v>LAG 48</v>
      </c>
      <c r="D758" s="2">
        <f>IFERROR(__xludf.DUMMYFUNCTION("""COMPUTED_VALUE"""),14.0)</f>
        <v>14</v>
      </c>
      <c r="E758" s="2" t="str">
        <f>IFERROR(__xludf.DUMMYFUNCTION("""COMPUTED_VALUE"""),"Damelag")</f>
        <v>Damelag</v>
      </c>
    </row>
    <row r="759" ht="15.75" customHeight="1">
      <c r="A759" s="18">
        <f>IFERROR(__xludf.DUMMYFUNCTION("""COMPUTED_VALUE"""),45857.5886228125)</f>
        <v>45857.58862</v>
      </c>
      <c r="B759" s="2" t="str">
        <f>IFERROR(__xludf.DUMMYFUNCTION("""COMPUTED_VALUE"""),"Post 7")</f>
        <v>Post 7</v>
      </c>
      <c r="C759" s="2" t="str">
        <f>IFERROR(__xludf.DUMMYFUNCTION("""COMPUTED_VALUE"""),"LAG 36")</f>
        <v>LAG 36</v>
      </c>
      <c r="D759" s="2">
        <f>IFERROR(__xludf.DUMMYFUNCTION("""COMPUTED_VALUE"""),15.0)</f>
        <v>15</v>
      </c>
      <c r="E759" s="2" t="str">
        <f>IFERROR(__xludf.DUMMYFUNCTION("""COMPUTED_VALUE"""),"Herrelag")</f>
        <v>Herrelag</v>
      </c>
    </row>
    <row r="760" ht="15.75" customHeight="1">
      <c r="A760" s="18">
        <f>IFERROR(__xludf.DUMMYFUNCTION("""COMPUTED_VALUE"""),45857.58870489583)</f>
        <v>45857.5887</v>
      </c>
      <c r="B760" s="2" t="str">
        <f>IFERROR(__xludf.DUMMYFUNCTION("""COMPUTED_VALUE"""),"Post 16")</f>
        <v>Post 16</v>
      </c>
      <c r="C760" s="2" t="str">
        <f>IFERROR(__xludf.DUMMYFUNCTION("""COMPUTED_VALUE"""),"LAG 21")</f>
        <v>LAG 21</v>
      </c>
      <c r="D760" s="2">
        <f>IFERROR(__xludf.DUMMYFUNCTION("""COMPUTED_VALUE"""),18.0)</f>
        <v>18</v>
      </c>
      <c r="E760" s="2" t="str">
        <f>IFERROR(__xludf.DUMMYFUNCTION("""COMPUTED_VALUE"""),"Damelag")</f>
        <v>Damelag</v>
      </c>
    </row>
    <row r="761" ht="15.75" customHeight="1">
      <c r="A761" s="18">
        <f>IFERROR(__xludf.DUMMYFUNCTION("""COMPUTED_VALUE"""),45857.58873037037)</f>
        <v>45857.58873</v>
      </c>
      <c r="B761" s="2" t="str">
        <f>IFERROR(__xludf.DUMMYFUNCTION("""COMPUTED_VALUE"""),"Post 7")</f>
        <v>Post 7</v>
      </c>
      <c r="C761" s="2" t="str">
        <f>IFERROR(__xludf.DUMMYFUNCTION("""COMPUTED_VALUE"""),"LAG 80")</f>
        <v>LAG 80</v>
      </c>
      <c r="D761" s="2">
        <f>IFERROR(__xludf.DUMMYFUNCTION("""COMPUTED_VALUE"""),15.0)</f>
        <v>15</v>
      </c>
      <c r="E761" s="2" t="str">
        <f>IFERROR(__xludf.DUMMYFUNCTION("""COMPUTED_VALUE"""),"Herrelag")</f>
        <v>Herrelag</v>
      </c>
    </row>
    <row r="762" ht="15.75" customHeight="1">
      <c r="A762" s="18">
        <f>IFERROR(__xludf.DUMMYFUNCTION("""COMPUTED_VALUE"""),45857.58875826389)</f>
        <v>45857.58876</v>
      </c>
      <c r="B762" s="2" t="str">
        <f>IFERROR(__xludf.DUMMYFUNCTION("""COMPUTED_VALUE"""),"Post 19")</f>
        <v>Post 19</v>
      </c>
      <c r="C762" s="2" t="str">
        <f>IFERROR(__xludf.DUMMYFUNCTION("""COMPUTED_VALUE"""),"LAG 76")</f>
        <v>LAG 76</v>
      </c>
      <c r="D762" s="2">
        <f>IFERROR(__xludf.DUMMYFUNCTION("""COMPUTED_VALUE"""),18.0)</f>
        <v>18</v>
      </c>
      <c r="E762" s="2" t="str">
        <f>IFERROR(__xludf.DUMMYFUNCTION("""COMPUTED_VALUE"""),"Mixlag")</f>
        <v>Mixlag</v>
      </c>
    </row>
    <row r="763" ht="15.75" customHeight="1">
      <c r="A763" s="18">
        <f>IFERROR(__xludf.DUMMYFUNCTION("""COMPUTED_VALUE"""),45857.588817916665)</f>
        <v>45857.58882</v>
      </c>
      <c r="B763" s="2" t="str">
        <f>IFERROR(__xludf.DUMMYFUNCTION("""COMPUTED_VALUE"""),"Post 19")</f>
        <v>Post 19</v>
      </c>
      <c r="C763" s="2" t="str">
        <f>IFERROR(__xludf.DUMMYFUNCTION("""COMPUTED_VALUE"""),"LAG 84")</f>
        <v>LAG 84</v>
      </c>
      <c r="D763" s="2">
        <f>IFERROR(__xludf.DUMMYFUNCTION("""COMPUTED_VALUE"""),16.0)</f>
        <v>16</v>
      </c>
      <c r="E763" s="2" t="str">
        <f>IFERROR(__xludf.DUMMYFUNCTION("""COMPUTED_VALUE"""),"Herrelag")</f>
        <v>Herrelag</v>
      </c>
    </row>
    <row r="764" ht="15.75" customHeight="1">
      <c r="A764" s="18">
        <f>IFERROR(__xludf.DUMMYFUNCTION("""COMPUTED_VALUE"""),45857.588820335644)</f>
        <v>45857.58882</v>
      </c>
      <c r="B764" s="2" t="str">
        <f>IFERROR(__xludf.DUMMYFUNCTION("""COMPUTED_VALUE"""),"Post 7")</f>
        <v>Post 7</v>
      </c>
      <c r="C764" s="2" t="str">
        <f>IFERROR(__xludf.DUMMYFUNCTION("""COMPUTED_VALUE"""),"LAG 39")</f>
        <v>LAG 39</v>
      </c>
      <c r="D764" s="2">
        <f>IFERROR(__xludf.DUMMYFUNCTION("""COMPUTED_VALUE"""),15.0)</f>
        <v>15</v>
      </c>
      <c r="E764" s="2" t="str">
        <f>IFERROR(__xludf.DUMMYFUNCTION("""COMPUTED_VALUE"""),"Herrelag")</f>
        <v>Herrelag</v>
      </c>
    </row>
    <row r="765" ht="15.75" customHeight="1">
      <c r="A765" s="18">
        <f>IFERROR(__xludf.DUMMYFUNCTION("""COMPUTED_VALUE"""),45857.588895891204)</f>
        <v>45857.5889</v>
      </c>
      <c r="B765" s="2" t="str">
        <f>IFERROR(__xludf.DUMMYFUNCTION("""COMPUTED_VALUE"""),"Post 16")</f>
        <v>Post 16</v>
      </c>
      <c r="C765" s="2" t="str">
        <f>IFERROR(__xludf.DUMMYFUNCTION("""COMPUTED_VALUE"""),"LAG 89")</f>
        <v>LAG 89</v>
      </c>
      <c r="D765" s="2">
        <f>IFERROR(__xludf.DUMMYFUNCTION("""COMPUTED_VALUE"""),23.0)</f>
        <v>23</v>
      </c>
      <c r="E765" s="2" t="str">
        <f>IFERROR(__xludf.DUMMYFUNCTION("""COMPUTED_VALUE"""),"Herrelag")</f>
        <v>Herrelag</v>
      </c>
    </row>
    <row r="766" ht="15.75" customHeight="1">
      <c r="A766" s="18">
        <f>IFERROR(__xludf.DUMMYFUNCTION("""COMPUTED_VALUE"""),45857.5889431713)</f>
        <v>45857.58894</v>
      </c>
      <c r="B766" s="2" t="str">
        <f>IFERROR(__xludf.DUMMYFUNCTION("""COMPUTED_VALUE"""),"Post 7")</f>
        <v>Post 7</v>
      </c>
      <c r="C766" s="2" t="str">
        <f>IFERROR(__xludf.DUMMYFUNCTION("""COMPUTED_VALUE"""),"LAG 81")</f>
        <v>LAG 81</v>
      </c>
      <c r="D766" s="2">
        <f>IFERROR(__xludf.DUMMYFUNCTION("""COMPUTED_VALUE"""),5.0)</f>
        <v>5</v>
      </c>
      <c r="E766" s="2" t="str">
        <f>IFERROR(__xludf.DUMMYFUNCTION("""COMPUTED_VALUE"""),"Herrelag")</f>
        <v>Herrelag</v>
      </c>
    </row>
    <row r="767" ht="15.75" customHeight="1">
      <c r="A767" s="18">
        <f>IFERROR(__xludf.DUMMYFUNCTION("""COMPUTED_VALUE"""),45857.58904869213)</f>
        <v>45857.58905</v>
      </c>
      <c r="B767" s="2" t="str">
        <f>IFERROR(__xludf.DUMMYFUNCTION("""COMPUTED_VALUE"""),"Post 19")</f>
        <v>Post 19</v>
      </c>
      <c r="C767" s="2" t="str">
        <f>IFERROR(__xludf.DUMMYFUNCTION("""COMPUTED_VALUE"""),"LAG 77")</f>
        <v>LAG 77</v>
      </c>
      <c r="D767" s="2">
        <f>IFERROR(__xludf.DUMMYFUNCTION("""COMPUTED_VALUE"""),10.0)</f>
        <v>10</v>
      </c>
      <c r="E767" s="2" t="str">
        <f>IFERROR(__xludf.DUMMYFUNCTION("""COMPUTED_VALUE"""),"Mixlag")</f>
        <v>Mixlag</v>
      </c>
    </row>
    <row r="768" ht="15.75" customHeight="1">
      <c r="A768" s="18">
        <f>IFERROR(__xludf.DUMMYFUNCTION("""COMPUTED_VALUE"""),45857.58906924768)</f>
        <v>45857.58907</v>
      </c>
      <c r="B768" s="2" t="str">
        <f>IFERROR(__xludf.DUMMYFUNCTION("""COMPUTED_VALUE"""),"Post 19")</f>
        <v>Post 19</v>
      </c>
      <c r="C768" s="2" t="str">
        <f>IFERROR(__xludf.DUMMYFUNCTION("""COMPUTED_VALUE"""),"LAG 83")</f>
        <v>LAG 83</v>
      </c>
      <c r="D768" s="2">
        <f>IFERROR(__xludf.DUMMYFUNCTION("""COMPUTED_VALUE"""),12.0)</f>
        <v>12</v>
      </c>
      <c r="E768" s="2" t="str">
        <f>IFERROR(__xludf.DUMMYFUNCTION("""COMPUTED_VALUE"""),"Herrelag")</f>
        <v>Herrelag</v>
      </c>
    </row>
    <row r="769" ht="15.75" customHeight="1">
      <c r="A769" s="18">
        <f>IFERROR(__xludf.DUMMYFUNCTION("""COMPUTED_VALUE"""),45857.58908854167)</f>
        <v>45857.58909</v>
      </c>
      <c r="B769" s="2" t="str">
        <f>IFERROR(__xludf.DUMMYFUNCTION("""COMPUTED_VALUE"""),"Post 16")</f>
        <v>Post 16</v>
      </c>
      <c r="C769" s="2" t="str">
        <f>IFERROR(__xludf.DUMMYFUNCTION("""COMPUTED_VALUE"""),"LAG 9")</f>
        <v>LAG 9</v>
      </c>
      <c r="D769" s="2">
        <f>IFERROR(__xludf.DUMMYFUNCTION("""COMPUTED_VALUE"""),20.0)</f>
        <v>20</v>
      </c>
      <c r="E769" s="2" t="str">
        <f>IFERROR(__xludf.DUMMYFUNCTION("""COMPUTED_VALUE"""),"Herrelag")</f>
        <v>Herrelag</v>
      </c>
    </row>
    <row r="770" ht="15.75" customHeight="1">
      <c r="A770" s="18">
        <f>IFERROR(__xludf.DUMMYFUNCTION("""COMPUTED_VALUE"""),45857.58920236111)</f>
        <v>45857.5892</v>
      </c>
      <c r="B770" s="2" t="str">
        <f>IFERROR(__xludf.DUMMYFUNCTION("""COMPUTED_VALUE"""),"Post 7")</f>
        <v>Post 7</v>
      </c>
      <c r="C770" s="2" t="str">
        <f>IFERROR(__xludf.DUMMYFUNCTION("""COMPUTED_VALUE"""),"LAG 82")</f>
        <v>LAG 82</v>
      </c>
      <c r="D770" s="2">
        <f>IFERROR(__xludf.DUMMYFUNCTION("""COMPUTED_VALUE"""),15.0)</f>
        <v>15</v>
      </c>
      <c r="E770" s="2" t="str">
        <f>IFERROR(__xludf.DUMMYFUNCTION("""COMPUTED_VALUE"""),"Mixlag")</f>
        <v>Mixlag</v>
      </c>
    </row>
    <row r="771" ht="15.75" customHeight="1">
      <c r="A771" s="18">
        <f>IFERROR(__xludf.DUMMYFUNCTION("""COMPUTED_VALUE"""),45857.58923261574)</f>
        <v>45857.58923</v>
      </c>
      <c r="B771" s="2" t="str">
        <f>IFERROR(__xludf.DUMMYFUNCTION("""COMPUTED_VALUE"""),"Post 16")</f>
        <v>Post 16</v>
      </c>
      <c r="C771" s="2" t="str">
        <f>IFERROR(__xludf.DUMMYFUNCTION("""COMPUTED_VALUE"""),"LAG 8")</f>
        <v>LAG 8</v>
      </c>
      <c r="D771" s="2">
        <f>IFERROR(__xludf.DUMMYFUNCTION("""COMPUTED_VALUE"""),17.0)</f>
        <v>17</v>
      </c>
      <c r="E771" s="2" t="str">
        <f>IFERROR(__xludf.DUMMYFUNCTION("""COMPUTED_VALUE"""),"Herrelag")</f>
        <v>Herrelag</v>
      </c>
    </row>
    <row r="772" ht="15.75" customHeight="1">
      <c r="A772" s="18">
        <f>IFERROR(__xludf.DUMMYFUNCTION("""COMPUTED_VALUE"""),45857.58928796297)</f>
        <v>45857.58929</v>
      </c>
      <c r="B772" s="2" t="str">
        <f>IFERROR(__xludf.DUMMYFUNCTION("""COMPUTED_VALUE"""),"Post 7")</f>
        <v>Post 7</v>
      </c>
      <c r="C772" s="2" t="str">
        <f>IFERROR(__xludf.DUMMYFUNCTION("""COMPUTED_VALUE"""),"LAG 45")</f>
        <v>LAG 45</v>
      </c>
      <c r="D772" s="2">
        <f>IFERROR(__xludf.DUMMYFUNCTION("""COMPUTED_VALUE"""),15.0)</f>
        <v>15</v>
      </c>
      <c r="E772" s="2" t="str">
        <f>IFERROR(__xludf.DUMMYFUNCTION("""COMPUTED_VALUE"""),"Damelag")</f>
        <v>Damelag</v>
      </c>
    </row>
    <row r="773" ht="15.75" customHeight="1">
      <c r="A773" s="18">
        <f>IFERROR(__xludf.DUMMYFUNCTION("""COMPUTED_VALUE"""),45857.58931186343)</f>
        <v>45857.58931</v>
      </c>
      <c r="B773" s="2" t="str">
        <f>IFERROR(__xludf.DUMMYFUNCTION("""COMPUTED_VALUE"""),"Post 19")</f>
        <v>Post 19</v>
      </c>
      <c r="C773" s="2" t="str">
        <f>IFERROR(__xludf.DUMMYFUNCTION("""COMPUTED_VALUE"""),"LAG 79")</f>
        <v>LAG 79</v>
      </c>
      <c r="D773" s="2">
        <f>IFERROR(__xludf.DUMMYFUNCTION("""COMPUTED_VALUE"""),16.0)</f>
        <v>16</v>
      </c>
      <c r="E773" s="2" t="str">
        <f>IFERROR(__xludf.DUMMYFUNCTION("""COMPUTED_VALUE"""),"Herrelag")</f>
        <v>Herrelag</v>
      </c>
    </row>
    <row r="774" ht="15.75" customHeight="1">
      <c r="A774" s="18">
        <f>IFERROR(__xludf.DUMMYFUNCTION("""COMPUTED_VALUE"""),45857.58934746528)</f>
        <v>45857.58935</v>
      </c>
      <c r="B774" s="2" t="str">
        <f>IFERROR(__xludf.DUMMYFUNCTION("""COMPUTED_VALUE"""),"Post 19")</f>
        <v>Post 19</v>
      </c>
      <c r="C774" s="2" t="str">
        <f>IFERROR(__xludf.DUMMYFUNCTION("""COMPUTED_VALUE"""),"LAG 82")</f>
        <v>LAG 82</v>
      </c>
      <c r="D774" s="2">
        <f>IFERROR(__xludf.DUMMYFUNCTION("""COMPUTED_VALUE"""),18.0)</f>
        <v>18</v>
      </c>
      <c r="E774" s="2" t="str">
        <f>IFERROR(__xludf.DUMMYFUNCTION("""COMPUTED_VALUE"""),"Mixlag")</f>
        <v>Mixlag</v>
      </c>
    </row>
    <row r="775" ht="15.75" customHeight="1">
      <c r="A775" s="18">
        <f>IFERROR(__xludf.DUMMYFUNCTION("""COMPUTED_VALUE"""),45857.589353877316)</f>
        <v>45857.58935</v>
      </c>
      <c r="B775" s="2" t="str">
        <f>IFERROR(__xludf.DUMMYFUNCTION("""COMPUTED_VALUE"""),"Post 7")</f>
        <v>Post 7</v>
      </c>
      <c r="C775" s="2" t="str">
        <f>IFERROR(__xludf.DUMMYFUNCTION("""COMPUTED_VALUE"""),"LAG 84")</f>
        <v>LAG 84</v>
      </c>
      <c r="D775" s="2">
        <f>IFERROR(__xludf.DUMMYFUNCTION("""COMPUTED_VALUE"""),10.0)</f>
        <v>10</v>
      </c>
      <c r="E775" s="2" t="str">
        <f>IFERROR(__xludf.DUMMYFUNCTION("""COMPUTED_VALUE"""),"Herrelag")</f>
        <v>Herrelag</v>
      </c>
    </row>
    <row r="776" ht="15.75" customHeight="1">
      <c r="A776" s="18">
        <f>IFERROR(__xludf.DUMMYFUNCTION("""COMPUTED_VALUE"""),45857.58936033565)</f>
        <v>45857.58936</v>
      </c>
      <c r="B776" s="2" t="str">
        <f>IFERROR(__xludf.DUMMYFUNCTION("""COMPUTED_VALUE"""),"Post 16")</f>
        <v>Post 16</v>
      </c>
      <c r="C776" s="2" t="str">
        <f>IFERROR(__xludf.DUMMYFUNCTION("""COMPUTED_VALUE"""),"LAG 5")</f>
        <v>LAG 5</v>
      </c>
      <c r="D776" s="2">
        <f>IFERROR(__xludf.DUMMYFUNCTION("""COMPUTED_VALUE"""),23.0)</f>
        <v>23</v>
      </c>
      <c r="E776" s="2" t="str">
        <f>IFERROR(__xludf.DUMMYFUNCTION("""COMPUTED_VALUE"""),"Mixlag")</f>
        <v>Mixlag</v>
      </c>
    </row>
    <row r="777" ht="15.75" customHeight="1">
      <c r="A777" s="18">
        <f>IFERROR(__xludf.DUMMYFUNCTION("""COMPUTED_VALUE"""),45857.589507337965)</f>
        <v>45857.58951</v>
      </c>
      <c r="B777" s="2" t="str">
        <f>IFERROR(__xludf.DUMMYFUNCTION("""COMPUTED_VALUE"""),"Post 7")</f>
        <v>Post 7</v>
      </c>
      <c r="C777" s="2" t="str">
        <f>IFERROR(__xludf.DUMMYFUNCTION("""COMPUTED_VALUE"""),"LAG 46")</f>
        <v>LAG 46</v>
      </c>
      <c r="D777" s="2">
        <f>IFERROR(__xludf.DUMMYFUNCTION("""COMPUTED_VALUE"""),10.0)</f>
        <v>10</v>
      </c>
      <c r="E777" s="2" t="str">
        <f>IFERROR(__xludf.DUMMYFUNCTION("""COMPUTED_VALUE"""),"Mixlag")</f>
        <v>Mixlag</v>
      </c>
    </row>
    <row r="778" ht="15.75" customHeight="1">
      <c r="A778" s="18">
        <f>IFERROR(__xludf.DUMMYFUNCTION("""COMPUTED_VALUE"""),45857.58961738426)</f>
        <v>45857.58962</v>
      </c>
      <c r="B778" s="2" t="str">
        <f>IFERROR(__xludf.DUMMYFUNCTION("""COMPUTED_VALUE"""),"Post 19")</f>
        <v>Post 19</v>
      </c>
      <c r="C778" s="2" t="str">
        <f>IFERROR(__xludf.DUMMYFUNCTION("""COMPUTED_VALUE"""),"LAG 80")</f>
        <v>LAG 80</v>
      </c>
      <c r="D778" s="2">
        <f>IFERROR(__xludf.DUMMYFUNCTION("""COMPUTED_VALUE"""),14.0)</f>
        <v>14</v>
      </c>
      <c r="E778" s="2" t="str">
        <f>IFERROR(__xludf.DUMMYFUNCTION("""COMPUTED_VALUE"""),"Herrelag")</f>
        <v>Herrelag</v>
      </c>
    </row>
    <row r="779" ht="15.75" customHeight="1">
      <c r="A779" s="18">
        <f>IFERROR(__xludf.DUMMYFUNCTION("""COMPUTED_VALUE"""),45857.58968017361)</f>
        <v>45857.58968</v>
      </c>
      <c r="B779" s="2" t="str">
        <f>IFERROR(__xludf.DUMMYFUNCTION("""COMPUTED_VALUE"""),"Post 7")</f>
        <v>Post 7</v>
      </c>
      <c r="C779" s="2" t="str">
        <f>IFERROR(__xludf.DUMMYFUNCTION("""COMPUTED_VALUE"""),"LAG 47")</f>
        <v>LAG 47</v>
      </c>
      <c r="D779" s="2">
        <f>IFERROR(__xludf.DUMMYFUNCTION("""COMPUTED_VALUE"""),15.0)</f>
        <v>15</v>
      </c>
      <c r="E779" s="2" t="str">
        <f>IFERROR(__xludf.DUMMYFUNCTION("""COMPUTED_VALUE"""),"Mixlag")</f>
        <v>Mixlag</v>
      </c>
    </row>
    <row r="780" ht="15.75" customHeight="1">
      <c r="A780" s="18">
        <f>IFERROR(__xludf.DUMMYFUNCTION("""COMPUTED_VALUE"""),45857.58969552083)</f>
        <v>45857.5897</v>
      </c>
      <c r="B780" s="2" t="str">
        <f>IFERROR(__xludf.DUMMYFUNCTION("""COMPUTED_VALUE"""),"Post 16")</f>
        <v>Post 16</v>
      </c>
      <c r="C780" s="2" t="str">
        <f>IFERROR(__xludf.DUMMYFUNCTION("""COMPUTED_VALUE"""),"LAG 47")</f>
        <v>LAG 47</v>
      </c>
      <c r="D780" s="2">
        <f>IFERROR(__xludf.DUMMYFUNCTION("""COMPUTED_VALUE"""),20.0)</f>
        <v>20</v>
      </c>
      <c r="E780" s="2" t="str">
        <f>IFERROR(__xludf.DUMMYFUNCTION("""COMPUTED_VALUE"""),"Damelag")</f>
        <v>Damelag</v>
      </c>
    </row>
    <row r="781" ht="15.75" customHeight="1">
      <c r="A781" s="18">
        <f>IFERROR(__xludf.DUMMYFUNCTION("""COMPUTED_VALUE"""),45857.589883368055)</f>
        <v>45857.58988</v>
      </c>
      <c r="B781" s="2" t="str">
        <f>IFERROR(__xludf.DUMMYFUNCTION("""COMPUTED_VALUE"""),"Post 7")</f>
        <v>Post 7</v>
      </c>
      <c r="C781" s="2" t="str">
        <f>IFERROR(__xludf.DUMMYFUNCTION("""COMPUTED_VALUE"""),"LAG 48")</f>
        <v>LAG 48</v>
      </c>
      <c r="D781" s="2">
        <f>IFERROR(__xludf.DUMMYFUNCTION("""COMPUTED_VALUE"""),10.0)</f>
        <v>10</v>
      </c>
      <c r="E781" s="2" t="str">
        <f>IFERROR(__xludf.DUMMYFUNCTION("""COMPUTED_VALUE"""),"Damelag")</f>
        <v>Damelag</v>
      </c>
    </row>
    <row r="782" ht="15.75" customHeight="1">
      <c r="A782" s="18">
        <f>IFERROR(__xludf.DUMMYFUNCTION("""COMPUTED_VALUE"""),45857.58990605324)</f>
        <v>45857.58991</v>
      </c>
      <c r="B782" s="2" t="str">
        <f>IFERROR(__xludf.DUMMYFUNCTION("""COMPUTED_VALUE"""),"Post 16")</f>
        <v>Post 16</v>
      </c>
      <c r="C782" s="2" t="str">
        <f>IFERROR(__xludf.DUMMYFUNCTION("""COMPUTED_VALUE"""),"LAG 78")</f>
        <v>LAG 78</v>
      </c>
      <c r="D782" s="2">
        <f>IFERROR(__xludf.DUMMYFUNCTION("""COMPUTED_VALUE"""),17.0)</f>
        <v>17</v>
      </c>
      <c r="E782" s="2" t="str">
        <f>IFERROR(__xludf.DUMMYFUNCTION("""COMPUTED_VALUE"""),"Damelag")</f>
        <v>Damelag</v>
      </c>
    </row>
    <row r="783" ht="15.75" customHeight="1">
      <c r="A783" s="18">
        <f>IFERROR(__xludf.DUMMYFUNCTION("""COMPUTED_VALUE"""),45857.59007615741)</f>
        <v>45857.59008</v>
      </c>
      <c r="B783" s="2" t="str">
        <f>IFERROR(__xludf.DUMMYFUNCTION("""COMPUTED_VALUE"""),"Post 16")</f>
        <v>Post 16</v>
      </c>
      <c r="C783" s="2" t="str">
        <f>IFERROR(__xludf.DUMMYFUNCTION("""COMPUTED_VALUE"""),"LAG 45")</f>
        <v>LAG 45</v>
      </c>
      <c r="D783" s="2">
        <f>IFERROR(__xludf.DUMMYFUNCTION("""COMPUTED_VALUE"""),23.0)</f>
        <v>23</v>
      </c>
      <c r="E783" s="2" t="str">
        <f>IFERROR(__xludf.DUMMYFUNCTION("""COMPUTED_VALUE"""),"Damelag")</f>
        <v>Damelag</v>
      </c>
    </row>
    <row r="784" ht="15.75" customHeight="1">
      <c r="A784" s="18">
        <f>IFERROR(__xludf.DUMMYFUNCTION("""COMPUTED_VALUE"""),45857.59009880787)</f>
        <v>45857.5901</v>
      </c>
      <c r="B784" s="2" t="str">
        <f>IFERROR(__xludf.DUMMYFUNCTION("""COMPUTED_VALUE"""),"Post 7")</f>
        <v>Post 7</v>
      </c>
      <c r="C784" s="2" t="str">
        <f>IFERROR(__xludf.DUMMYFUNCTION("""COMPUTED_VALUE"""),"LAG 49")</f>
        <v>LAG 49</v>
      </c>
      <c r="D784" s="2">
        <f>IFERROR(__xludf.DUMMYFUNCTION("""COMPUTED_VALUE"""),20.0)</f>
        <v>20</v>
      </c>
      <c r="E784" s="2" t="str">
        <f>IFERROR(__xludf.DUMMYFUNCTION("""COMPUTED_VALUE"""),"Damelag")</f>
        <v>Damelag</v>
      </c>
    </row>
    <row r="785" ht="15.75" customHeight="1">
      <c r="A785" s="18">
        <f>IFERROR(__xludf.DUMMYFUNCTION("""COMPUTED_VALUE"""),45857.59019400463)</f>
        <v>45857.59019</v>
      </c>
      <c r="B785" s="2" t="str">
        <f>IFERROR(__xludf.DUMMYFUNCTION("""COMPUTED_VALUE"""),"Post 16")</f>
        <v>Post 16</v>
      </c>
      <c r="C785" s="2" t="str">
        <f>IFERROR(__xludf.DUMMYFUNCTION("""COMPUTED_VALUE"""),"LAG 2")</f>
        <v>LAG 2</v>
      </c>
      <c r="D785" s="2">
        <f>IFERROR(__xludf.DUMMYFUNCTION("""COMPUTED_VALUE"""),23.0)</f>
        <v>23</v>
      </c>
      <c r="E785" s="2" t="str">
        <f>IFERROR(__xludf.DUMMYFUNCTION("""COMPUTED_VALUE"""),"Damelag")</f>
        <v>Damelag</v>
      </c>
    </row>
    <row r="786" ht="15.75" customHeight="1">
      <c r="A786" s="18">
        <f>IFERROR(__xludf.DUMMYFUNCTION("""COMPUTED_VALUE"""),45857.59032607639)</f>
        <v>45857.59033</v>
      </c>
      <c r="B786" s="2" t="str">
        <f>IFERROR(__xludf.DUMMYFUNCTION("""COMPUTED_VALUE"""),"Post 16")</f>
        <v>Post 16</v>
      </c>
      <c r="C786" s="2" t="str">
        <f>IFERROR(__xludf.DUMMYFUNCTION("""COMPUTED_VALUE"""),"LAG 16")</f>
        <v>LAG 16</v>
      </c>
      <c r="D786" s="2">
        <f>IFERROR(__xludf.DUMMYFUNCTION("""COMPUTED_VALUE"""),23.0)</f>
        <v>23</v>
      </c>
      <c r="E786" s="2" t="str">
        <f>IFERROR(__xludf.DUMMYFUNCTION("""COMPUTED_VALUE"""),"Herrelag")</f>
        <v>Herrelag</v>
      </c>
    </row>
    <row r="787" ht="15.75" customHeight="1">
      <c r="A787" s="18">
        <f>IFERROR(__xludf.DUMMYFUNCTION("""COMPUTED_VALUE"""),45857.590567164356)</f>
        <v>45857.59057</v>
      </c>
      <c r="B787" s="2" t="str">
        <f>IFERROR(__xludf.DUMMYFUNCTION("""COMPUTED_VALUE"""),"Post 16")</f>
        <v>Post 16</v>
      </c>
      <c r="C787" s="2" t="str">
        <f>IFERROR(__xludf.DUMMYFUNCTION("""COMPUTED_VALUE"""),"LAG 19")</f>
        <v>LAG 19</v>
      </c>
      <c r="D787" s="2">
        <f>IFERROR(__xludf.DUMMYFUNCTION("""COMPUTED_VALUE"""),24.0)</f>
        <v>24</v>
      </c>
      <c r="E787" s="2" t="str">
        <f>IFERROR(__xludf.DUMMYFUNCTION("""COMPUTED_VALUE"""),"Herrelag")</f>
        <v>Herrelag</v>
      </c>
    </row>
    <row r="788" ht="15.75" customHeight="1">
      <c r="A788" s="18">
        <f>IFERROR(__xludf.DUMMYFUNCTION("""COMPUTED_VALUE"""),45857.5933762037)</f>
        <v>45857.59338</v>
      </c>
      <c r="B788" s="2" t="str">
        <f>IFERROR(__xludf.DUMMYFUNCTION("""COMPUTED_VALUE"""),"Post 21")</f>
        <v>Post 21</v>
      </c>
      <c r="C788" s="2" t="str">
        <f>IFERROR(__xludf.DUMMYFUNCTION("""COMPUTED_VALUE"""),"LAG 2")</f>
        <v>LAG 2</v>
      </c>
      <c r="D788" s="2">
        <f>IFERROR(__xludf.DUMMYFUNCTION("""COMPUTED_VALUE"""),15.0)</f>
        <v>15</v>
      </c>
      <c r="E788" s="2" t="str">
        <f>IFERROR(__xludf.DUMMYFUNCTION("""COMPUTED_VALUE"""),"Damelag")</f>
        <v>Damelag</v>
      </c>
    </row>
    <row r="789" ht="15.75" customHeight="1">
      <c r="A789" s="18">
        <f>IFERROR(__xludf.DUMMYFUNCTION("""COMPUTED_VALUE"""),45857.593811099534)</f>
        <v>45857.59381</v>
      </c>
      <c r="B789" s="2" t="str">
        <f>IFERROR(__xludf.DUMMYFUNCTION("""COMPUTED_VALUE"""),"Post 21")</f>
        <v>Post 21</v>
      </c>
      <c r="C789" s="2" t="str">
        <f>IFERROR(__xludf.DUMMYFUNCTION("""COMPUTED_VALUE"""),"LAG 5")</f>
        <v>LAG 5</v>
      </c>
      <c r="D789" s="2">
        <f>IFERROR(__xludf.DUMMYFUNCTION("""COMPUTED_VALUE"""),10.0)</f>
        <v>10</v>
      </c>
      <c r="E789" s="2" t="str">
        <f>IFERROR(__xludf.DUMMYFUNCTION("""COMPUTED_VALUE"""),"Mixlag")</f>
        <v>Mixlag</v>
      </c>
    </row>
    <row r="790" ht="15.75" customHeight="1">
      <c r="A790" s="18">
        <f>IFERROR(__xludf.DUMMYFUNCTION("""COMPUTED_VALUE"""),45857.5941078125)</f>
        <v>45857.59411</v>
      </c>
      <c r="B790" s="2" t="str">
        <f>IFERROR(__xludf.DUMMYFUNCTION("""COMPUTED_VALUE"""),"Post 21")</f>
        <v>Post 21</v>
      </c>
      <c r="C790" s="2" t="str">
        <f>IFERROR(__xludf.DUMMYFUNCTION("""COMPUTED_VALUE"""),"LAG 6")</f>
        <v>LAG 6</v>
      </c>
      <c r="D790" s="2">
        <f>IFERROR(__xludf.DUMMYFUNCTION("""COMPUTED_VALUE"""),10.0)</f>
        <v>10</v>
      </c>
      <c r="E790" s="2" t="str">
        <f>IFERROR(__xludf.DUMMYFUNCTION("""COMPUTED_VALUE"""),"Mixlag")</f>
        <v>Mixlag</v>
      </c>
    </row>
    <row r="791" ht="15.75" customHeight="1">
      <c r="A791" s="18">
        <f>IFERROR(__xludf.DUMMYFUNCTION("""COMPUTED_VALUE"""),45857.59476)</f>
        <v>45857.59476</v>
      </c>
      <c r="B791" s="2" t="str">
        <f>IFERROR(__xludf.DUMMYFUNCTION("""COMPUTED_VALUE"""),"Post 21")</f>
        <v>Post 21</v>
      </c>
      <c r="C791" s="2" t="str">
        <f>IFERROR(__xludf.DUMMYFUNCTION("""COMPUTED_VALUE"""),"LAG 9")</f>
        <v>LAG 9</v>
      </c>
      <c r="D791" s="2">
        <f>IFERROR(__xludf.DUMMYFUNCTION("""COMPUTED_VALUE"""),15.0)</f>
        <v>15</v>
      </c>
      <c r="E791" s="2" t="str">
        <f>IFERROR(__xludf.DUMMYFUNCTION("""COMPUTED_VALUE"""),"Herrelag")</f>
        <v>Herrelag</v>
      </c>
    </row>
    <row r="792" ht="15.75" customHeight="1">
      <c r="A792" s="18">
        <f>IFERROR(__xludf.DUMMYFUNCTION("""COMPUTED_VALUE"""),45857.59731491898)</f>
        <v>45857.59731</v>
      </c>
      <c r="B792" s="2" t="str">
        <f>IFERROR(__xludf.DUMMYFUNCTION("""COMPUTED_VALUE"""),"Post 21")</f>
        <v>Post 21</v>
      </c>
      <c r="C792" s="2" t="str">
        <f>IFERROR(__xludf.DUMMYFUNCTION("""COMPUTED_VALUE"""),"LAG 10")</f>
        <v>LAG 10</v>
      </c>
      <c r="D792" s="2">
        <f>IFERROR(__xludf.DUMMYFUNCTION("""COMPUTED_VALUE"""),5.0)</f>
        <v>5</v>
      </c>
      <c r="E792" s="2" t="str">
        <f>IFERROR(__xludf.DUMMYFUNCTION("""COMPUTED_VALUE"""),"Herrelag")</f>
        <v>Herrelag</v>
      </c>
    </row>
    <row r="793" ht="15.75" customHeight="1">
      <c r="A793" s="18">
        <f>IFERROR(__xludf.DUMMYFUNCTION("""COMPUTED_VALUE"""),45857.597614687504)</f>
        <v>45857.59761</v>
      </c>
      <c r="B793" s="2" t="str">
        <f>IFERROR(__xludf.DUMMYFUNCTION("""COMPUTED_VALUE"""),"Post 21")</f>
        <v>Post 21</v>
      </c>
      <c r="C793" s="2" t="str">
        <f>IFERROR(__xludf.DUMMYFUNCTION("""COMPUTED_VALUE"""),"LAG 11")</f>
        <v>LAG 11</v>
      </c>
      <c r="D793" s="2">
        <f>IFERROR(__xludf.DUMMYFUNCTION("""COMPUTED_VALUE"""),10.0)</f>
        <v>10</v>
      </c>
      <c r="E793" s="2" t="str">
        <f>IFERROR(__xludf.DUMMYFUNCTION("""COMPUTED_VALUE"""),"Damelag")</f>
        <v>Damelag</v>
      </c>
    </row>
    <row r="794" ht="15.75" customHeight="1">
      <c r="A794" s="18">
        <f>IFERROR(__xludf.DUMMYFUNCTION("""COMPUTED_VALUE"""),45857.59806337963)</f>
        <v>45857.59806</v>
      </c>
      <c r="B794" s="2" t="str">
        <f>IFERROR(__xludf.DUMMYFUNCTION("""COMPUTED_VALUE"""),"Post 21")</f>
        <v>Post 21</v>
      </c>
      <c r="C794" s="2" t="str">
        <f>IFERROR(__xludf.DUMMYFUNCTION("""COMPUTED_VALUE"""),"LAG 13")</f>
        <v>LAG 13</v>
      </c>
      <c r="D794" s="2">
        <f>IFERROR(__xludf.DUMMYFUNCTION("""COMPUTED_VALUE"""),5.0)</f>
        <v>5</v>
      </c>
      <c r="E794" s="2" t="str">
        <f>IFERROR(__xludf.DUMMYFUNCTION("""COMPUTED_VALUE"""),"Herrelag")</f>
        <v>Herrelag</v>
      </c>
    </row>
    <row r="795" ht="15.75" customHeight="1">
      <c r="A795" s="18">
        <f>IFERROR(__xludf.DUMMYFUNCTION("""COMPUTED_VALUE"""),45857.598544837965)</f>
        <v>45857.59854</v>
      </c>
      <c r="B795" s="2" t="str">
        <f>IFERROR(__xludf.DUMMYFUNCTION("""COMPUTED_VALUE"""),"Post 21")</f>
        <v>Post 21</v>
      </c>
      <c r="C795" s="2" t="str">
        <f>IFERROR(__xludf.DUMMYFUNCTION("""COMPUTED_VALUE"""),"LAG 16")</f>
        <v>LAG 16</v>
      </c>
      <c r="D795" s="2">
        <f>IFERROR(__xludf.DUMMYFUNCTION("""COMPUTED_VALUE"""),5.0)</f>
        <v>5</v>
      </c>
      <c r="E795" s="2" t="str">
        <f>IFERROR(__xludf.DUMMYFUNCTION("""COMPUTED_VALUE"""),"Herrelag")</f>
        <v>Herrelag</v>
      </c>
    </row>
    <row r="796" ht="15.75" customHeight="1">
      <c r="A796" s="18">
        <f>IFERROR(__xludf.DUMMYFUNCTION("""COMPUTED_VALUE"""),45857.59897796296)</f>
        <v>45857.59898</v>
      </c>
      <c r="B796" s="2" t="str">
        <f>IFERROR(__xludf.DUMMYFUNCTION("""COMPUTED_VALUE"""),"Post 21")</f>
        <v>Post 21</v>
      </c>
      <c r="C796" s="2" t="str">
        <f>IFERROR(__xludf.DUMMYFUNCTION("""COMPUTED_VALUE"""),"LAG 19")</f>
        <v>LAG 19</v>
      </c>
      <c r="D796" s="2">
        <f>IFERROR(__xludf.DUMMYFUNCTION("""COMPUTED_VALUE"""),15.0)</f>
        <v>15</v>
      </c>
      <c r="E796" s="2" t="str">
        <f>IFERROR(__xludf.DUMMYFUNCTION("""COMPUTED_VALUE"""),"Herrelag")</f>
        <v>Herrelag</v>
      </c>
    </row>
    <row r="797" ht="15.75" customHeight="1">
      <c r="A797" s="18">
        <f>IFERROR(__xludf.DUMMYFUNCTION("""COMPUTED_VALUE"""),45857.5993746412)</f>
        <v>45857.59937</v>
      </c>
      <c r="B797" s="2" t="str">
        <f>IFERROR(__xludf.DUMMYFUNCTION("""COMPUTED_VALUE"""),"Post 21")</f>
        <v>Post 21</v>
      </c>
      <c r="C797" s="2" t="str">
        <f>IFERROR(__xludf.DUMMYFUNCTION("""COMPUTED_VALUE"""),"LAG 20")</f>
        <v>LAG 20</v>
      </c>
      <c r="D797" s="2">
        <f>IFERROR(__xludf.DUMMYFUNCTION("""COMPUTED_VALUE"""),20.0)</f>
        <v>20</v>
      </c>
      <c r="E797" s="2" t="str">
        <f>IFERROR(__xludf.DUMMYFUNCTION("""COMPUTED_VALUE"""),"Damelag")</f>
        <v>Damelag</v>
      </c>
    </row>
    <row r="798" ht="15.75" customHeight="1">
      <c r="A798" s="18">
        <f>IFERROR(__xludf.DUMMYFUNCTION("""COMPUTED_VALUE"""),45857.59956966435)</f>
        <v>45857.59957</v>
      </c>
      <c r="B798" s="2" t="str">
        <f>IFERROR(__xludf.DUMMYFUNCTION("""COMPUTED_VALUE"""),"Post 23")</f>
        <v>Post 23</v>
      </c>
      <c r="C798" s="2" t="str">
        <f>IFERROR(__xludf.DUMMYFUNCTION("""COMPUTED_VALUE"""),"LAG 2")</f>
        <v>LAG 2</v>
      </c>
      <c r="D798" s="2" t="str">
        <f>IFERROR(__xludf.DUMMYFUNCTION("""COMPUTED_VALUE"""),"12.5")</f>
        <v>12.5</v>
      </c>
      <c r="E798" s="2" t="str">
        <f>IFERROR(__xludf.DUMMYFUNCTION("""COMPUTED_VALUE"""),"Damelag")</f>
        <v>Damelag</v>
      </c>
    </row>
    <row r="799" ht="15.75" customHeight="1">
      <c r="A799" s="18">
        <f>IFERROR(__xludf.DUMMYFUNCTION("""COMPUTED_VALUE"""),45857.60030131944)</f>
        <v>45857.6003</v>
      </c>
      <c r="B799" s="2" t="str">
        <f>IFERROR(__xludf.DUMMYFUNCTION("""COMPUTED_VALUE"""),"Post 21")</f>
        <v>Post 21</v>
      </c>
      <c r="C799" s="2" t="str">
        <f>IFERROR(__xludf.DUMMYFUNCTION("""COMPUTED_VALUE"""),"LAG 23")</f>
        <v>LAG 23</v>
      </c>
      <c r="D799" s="2">
        <f>IFERROR(__xludf.DUMMYFUNCTION("""COMPUTED_VALUE"""),5.0)</f>
        <v>5</v>
      </c>
      <c r="E799" s="2" t="str">
        <f>IFERROR(__xludf.DUMMYFUNCTION("""COMPUTED_VALUE"""),"Damelag")</f>
        <v>Damelag</v>
      </c>
    </row>
    <row r="800" ht="15.75" customHeight="1">
      <c r="A800" s="18">
        <f>IFERROR(__xludf.DUMMYFUNCTION("""COMPUTED_VALUE"""),45857.60088591435)</f>
        <v>45857.60089</v>
      </c>
      <c r="B800" s="2" t="str">
        <f>IFERROR(__xludf.DUMMYFUNCTION("""COMPUTED_VALUE"""),"Post 23")</f>
        <v>Post 23</v>
      </c>
      <c r="C800" s="2" t="str">
        <f>IFERROR(__xludf.DUMMYFUNCTION("""COMPUTED_VALUE"""),"LAG 5")</f>
        <v>LAG 5</v>
      </c>
      <c r="D800" s="2">
        <f>IFERROR(__xludf.DUMMYFUNCTION("""COMPUTED_VALUE"""),15.0)</f>
        <v>15</v>
      </c>
      <c r="E800" s="2" t="str">
        <f>IFERROR(__xludf.DUMMYFUNCTION("""COMPUTED_VALUE"""),"Mixlag")</f>
        <v>Mixlag</v>
      </c>
    </row>
    <row r="801" ht="15.75" customHeight="1">
      <c r="A801" s="18">
        <f>IFERROR(__xludf.DUMMYFUNCTION("""COMPUTED_VALUE"""),45857.60116990741)</f>
        <v>45857.60117</v>
      </c>
      <c r="B801" s="2" t="str">
        <f>IFERROR(__xludf.DUMMYFUNCTION("""COMPUTED_VALUE"""),"Post 23")</f>
        <v>Post 23</v>
      </c>
      <c r="C801" s="2" t="str">
        <f>IFERROR(__xludf.DUMMYFUNCTION("""COMPUTED_VALUE"""),"LAG 6")</f>
        <v>LAG 6</v>
      </c>
      <c r="D801" s="2" t="str">
        <f>IFERROR(__xludf.DUMMYFUNCTION("""COMPUTED_VALUE"""),"12.5")</f>
        <v>12.5</v>
      </c>
      <c r="E801" s="2" t="str">
        <f>IFERROR(__xludf.DUMMYFUNCTION("""COMPUTED_VALUE"""),"Mixlag")</f>
        <v>Mixlag</v>
      </c>
    </row>
    <row r="802" ht="15.75" customHeight="1">
      <c r="A802" s="18">
        <f>IFERROR(__xludf.DUMMYFUNCTION("""COMPUTED_VALUE"""),45857.60151341435)</f>
        <v>45857.60151</v>
      </c>
      <c r="B802" s="2" t="str">
        <f>IFERROR(__xludf.DUMMYFUNCTION("""COMPUTED_VALUE"""),"Post 23")</f>
        <v>Post 23</v>
      </c>
      <c r="C802" s="2" t="str">
        <f>IFERROR(__xludf.DUMMYFUNCTION("""COMPUTED_VALUE"""),"LAG 7")</f>
        <v>LAG 7</v>
      </c>
      <c r="D802" s="2">
        <f>IFERROR(__xludf.DUMMYFUNCTION("""COMPUTED_VALUE"""),20.0)</f>
        <v>20</v>
      </c>
      <c r="E802" s="2" t="str">
        <f>IFERROR(__xludf.DUMMYFUNCTION("""COMPUTED_VALUE"""),"Mixlag")</f>
        <v>Mixlag</v>
      </c>
    </row>
    <row r="803" ht="15.75" customHeight="1">
      <c r="A803" s="18">
        <f>IFERROR(__xludf.DUMMYFUNCTION("""COMPUTED_VALUE"""),45857.60180716435)</f>
        <v>45857.60181</v>
      </c>
      <c r="B803" s="2" t="str">
        <f>IFERROR(__xludf.DUMMYFUNCTION("""COMPUTED_VALUE"""),"Post 23")</f>
        <v>Post 23</v>
      </c>
      <c r="C803" s="2" t="str">
        <f>IFERROR(__xludf.DUMMYFUNCTION("""COMPUTED_VALUE"""),"LAG 9")</f>
        <v>LAG 9</v>
      </c>
      <c r="D803" s="2">
        <f>IFERROR(__xludf.DUMMYFUNCTION("""COMPUTED_VALUE"""),15.0)</f>
        <v>15</v>
      </c>
      <c r="E803" s="2" t="str">
        <f>IFERROR(__xludf.DUMMYFUNCTION("""COMPUTED_VALUE"""),"Herrelag")</f>
        <v>Herrelag</v>
      </c>
    </row>
    <row r="804" ht="15.75" customHeight="1">
      <c r="A804" s="18">
        <f>IFERROR(__xludf.DUMMYFUNCTION("""COMPUTED_VALUE"""),45857.601986747686)</f>
        <v>45857.60199</v>
      </c>
      <c r="B804" s="2" t="str">
        <f>IFERROR(__xludf.DUMMYFUNCTION("""COMPUTED_VALUE"""),"Post 21")</f>
        <v>Post 21</v>
      </c>
      <c r="C804" s="2" t="str">
        <f>IFERROR(__xludf.DUMMYFUNCTION("""COMPUTED_VALUE"""),"LAG 24")</f>
        <v>LAG 24</v>
      </c>
      <c r="D804" s="2">
        <f>IFERROR(__xludf.DUMMYFUNCTION("""COMPUTED_VALUE"""),20.0)</f>
        <v>20</v>
      </c>
      <c r="E804" s="2" t="str">
        <f>IFERROR(__xludf.DUMMYFUNCTION("""COMPUTED_VALUE"""),"Herrelag")</f>
        <v>Herrelag</v>
      </c>
    </row>
    <row r="805" ht="15.75" customHeight="1">
      <c r="A805" s="18">
        <f>IFERROR(__xludf.DUMMYFUNCTION("""COMPUTED_VALUE"""),45857.602048877314)</f>
        <v>45857.60205</v>
      </c>
      <c r="B805" s="2" t="str">
        <f>IFERROR(__xludf.DUMMYFUNCTION("""COMPUTED_VALUE"""),"Post 23")</f>
        <v>Post 23</v>
      </c>
      <c r="C805" s="2" t="str">
        <f>IFERROR(__xludf.DUMMYFUNCTION("""COMPUTED_VALUE"""),"LAG 12")</f>
        <v>LAG 12</v>
      </c>
      <c r="D805" s="2">
        <f>IFERROR(__xludf.DUMMYFUNCTION("""COMPUTED_VALUE"""),10.0)</f>
        <v>10</v>
      </c>
      <c r="E805" s="2" t="str">
        <f>IFERROR(__xludf.DUMMYFUNCTION("""COMPUTED_VALUE"""),"Damelag")</f>
        <v>Damelag</v>
      </c>
    </row>
    <row r="806" ht="15.75" customHeight="1">
      <c r="A806" s="18">
        <f>IFERROR(__xludf.DUMMYFUNCTION("""COMPUTED_VALUE"""),45857.60228983796)</f>
        <v>45857.60229</v>
      </c>
      <c r="B806" s="2" t="str">
        <f>IFERROR(__xludf.DUMMYFUNCTION("""COMPUTED_VALUE"""),"Post 23")</f>
        <v>Post 23</v>
      </c>
      <c r="C806" s="2" t="str">
        <f>IFERROR(__xludf.DUMMYFUNCTION("""COMPUTED_VALUE"""),"LAG 14")</f>
        <v>LAG 14</v>
      </c>
      <c r="D806" s="2">
        <f>IFERROR(__xludf.DUMMYFUNCTION("""COMPUTED_VALUE"""),10.0)</f>
        <v>10</v>
      </c>
      <c r="E806" s="2" t="str">
        <f>IFERROR(__xludf.DUMMYFUNCTION("""COMPUTED_VALUE"""),"Mixlag")</f>
        <v>Mixlag</v>
      </c>
    </row>
    <row r="807" ht="15.75" customHeight="1">
      <c r="A807" s="18">
        <f>IFERROR(__xludf.DUMMYFUNCTION("""COMPUTED_VALUE"""),45857.60266747685)</f>
        <v>45857.60267</v>
      </c>
      <c r="B807" s="2" t="str">
        <f>IFERROR(__xludf.DUMMYFUNCTION("""COMPUTED_VALUE"""),"Post 23")</f>
        <v>Post 23</v>
      </c>
      <c r="C807" s="2" t="str">
        <f>IFERROR(__xludf.DUMMYFUNCTION("""COMPUTED_VALUE"""),"LAG 15")</f>
        <v>LAG 15</v>
      </c>
      <c r="D807" s="2">
        <f>IFERROR(__xludf.DUMMYFUNCTION("""COMPUTED_VALUE"""),18.0)</f>
        <v>18</v>
      </c>
      <c r="E807" s="2" t="str">
        <f>IFERROR(__xludf.DUMMYFUNCTION("""COMPUTED_VALUE"""),"Herrelag")</f>
        <v>Herrelag</v>
      </c>
    </row>
    <row r="808" ht="15.75" customHeight="1">
      <c r="A808" s="18">
        <f>IFERROR(__xludf.DUMMYFUNCTION("""COMPUTED_VALUE"""),45857.60275986111)</f>
        <v>45857.60276</v>
      </c>
      <c r="B808" s="2" t="str">
        <f>IFERROR(__xludf.DUMMYFUNCTION("""COMPUTED_VALUE"""),"Post 21")</f>
        <v>Post 21</v>
      </c>
      <c r="C808" s="2" t="str">
        <f>IFERROR(__xludf.DUMMYFUNCTION("""COMPUTED_VALUE"""),"LAG 26")</f>
        <v>LAG 26</v>
      </c>
      <c r="D808" s="2">
        <f>IFERROR(__xludf.DUMMYFUNCTION("""COMPUTED_VALUE"""),5.0)</f>
        <v>5</v>
      </c>
      <c r="E808" s="2" t="str">
        <f>IFERROR(__xludf.DUMMYFUNCTION("""COMPUTED_VALUE"""),"Damelag")</f>
        <v>Damelag</v>
      </c>
    </row>
    <row r="809" ht="15.75" customHeight="1">
      <c r="A809" s="18">
        <f>IFERROR(__xludf.DUMMYFUNCTION("""COMPUTED_VALUE"""),45857.602989293984)</f>
        <v>45857.60299</v>
      </c>
      <c r="B809" s="2" t="str">
        <f>IFERROR(__xludf.DUMMYFUNCTION("""COMPUTED_VALUE"""),"Post 23")</f>
        <v>Post 23</v>
      </c>
      <c r="C809" s="2" t="str">
        <f>IFERROR(__xludf.DUMMYFUNCTION("""COMPUTED_VALUE"""),"LAG 16")</f>
        <v>LAG 16</v>
      </c>
      <c r="D809" s="2">
        <f>IFERROR(__xludf.DUMMYFUNCTION("""COMPUTED_VALUE"""),15.0)</f>
        <v>15</v>
      </c>
      <c r="E809" s="2" t="str">
        <f>IFERROR(__xludf.DUMMYFUNCTION("""COMPUTED_VALUE"""),"Herrelag")</f>
        <v>Herrelag</v>
      </c>
    </row>
    <row r="810" ht="15.75" customHeight="1">
      <c r="A810" s="18">
        <f>IFERROR(__xludf.DUMMYFUNCTION("""COMPUTED_VALUE"""),45857.60310438657)</f>
        <v>45857.6031</v>
      </c>
      <c r="B810" s="2" t="str">
        <f>IFERROR(__xludf.DUMMYFUNCTION("""COMPUTED_VALUE"""),"Post 23")</f>
        <v>Post 23</v>
      </c>
      <c r="C810" s="2" t="str">
        <f>IFERROR(__xludf.DUMMYFUNCTION("""COMPUTED_VALUE"""),"LAG 79")</f>
        <v>LAG 79</v>
      </c>
      <c r="D810" s="2">
        <f>IFERROR(__xludf.DUMMYFUNCTION("""COMPUTED_VALUE"""),18.0)</f>
        <v>18</v>
      </c>
      <c r="E810" s="2" t="str">
        <f>IFERROR(__xludf.DUMMYFUNCTION("""COMPUTED_VALUE"""),"Herrelag")</f>
        <v>Herrelag</v>
      </c>
    </row>
    <row r="811" ht="15.75" customHeight="1">
      <c r="A811" s="18">
        <f>IFERROR(__xludf.DUMMYFUNCTION("""COMPUTED_VALUE"""),45857.603282199074)</f>
        <v>45857.60328</v>
      </c>
      <c r="B811" s="2" t="str">
        <f>IFERROR(__xludf.DUMMYFUNCTION("""COMPUTED_VALUE"""),"Post 23")</f>
        <v>Post 23</v>
      </c>
      <c r="C811" s="2" t="str">
        <f>IFERROR(__xludf.DUMMYFUNCTION("""COMPUTED_VALUE"""),"LAG 21")</f>
        <v>LAG 21</v>
      </c>
      <c r="D811" s="2" t="str">
        <f>IFERROR(__xludf.DUMMYFUNCTION("""COMPUTED_VALUE"""),"12.5")</f>
        <v>12.5</v>
      </c>
      <c r="E811" s="2" t="str">
        <f>IFERROR(__xludf.DUMMYFUNCTION("""COMPUTED_VALUE"""),"Damelag")</f>
        <v>Damelag</v>
      </c>
    </row>
    <row r="812" ht="15.75" customHeight="1">
      <c r="A812" s="18">
        <f>IFERROR(__xludf.DUMMYFUNCTION("""COMPUTED_VALUE"""),45857.6034205787)</f>
        <v>45857.60342</v>
      </c>
      <c r="B812" s="2" t="str">
        <f>IFERROR(__xludf.DUMMYFUNCTION("""COMPUTED_VALUE"""),"Post 23")</f>
        <v>Post 23</v>
      </c>
      <c r="C812" s="2" t="str">
        <f>IFERROR(__xludf.DUMMYFUNCTION("""COMPUTED_VALUE"""),"LAG 78")</f>
        <v>LAG 78</v>
      </c>
      <c r="D812" s="2">
        <f>IFERROR(__xludf.DUMMYFUNCTION("""COMPUTED_VALUE"""),15.0)</f>
        <v>15</v>
      </c>
      <c r="E812" s="2" t="str">
        <f>IFERROR(__xludf.DUMMYFUNCTION("""COMPUTED_VALUE"""),"Damelag")</f>
        <v>Damelag</v>
      </c>
    </row>
    <row r="813" ht="15.75" customHeight="1">
      <c r="A813" s="18">
        <f>IFERROR(__xludf.DUMMYFUNCTION("""COMPUTED_VALUE"""),45857.60357831018)</f>
        <v>45857.60358</v>
      </c>
      <c r="B813" s="2" t="str">
        <f>IFERROR(__xludf.DUMMYFUNCTION("""COMPUTED_VALUE"""),"Post 23")</f>
        <v>Post 23</v>
      </c>
      <c r="C813" s="2" t="str">
        <f>IFERROR(__xludf.DUMMYFUNCTION("""COMPUTED_VALUE"""),"LAG 22")</f>
        <v>LAG 22</v>
      </c>
      <c r="D813" s="2">
        <f>IFERROR(__xludf.DUMMYFUNCTION("""COMPUTED_VALUE"""),20.0)</f>
        <v>20</v>
      </c>
      <c r="E813" s="2" t="str">
        <f>IFERROR(__xludf.DUMMYFUNCTION("""COMPUTED_VALUE"""),"Damelag")</f>
        <v>Damelag</v>
      </c>
    </row>
    <row r="814" ht="15.75" customHeight="1">
      <c r="A814" s="18">
        <f>IFERROR(__xludf.DUMMYFUNCTION("""COMPUTED_VALUE"""),45857.60395185185)</f>
        <v>45857.60395</v>
      </c>
      <c r="B814" s="2" t="str">
        <f>IFERROR(__xludf.DUMMYFUNCTION("""COMPUTED_VALUE"""),"Post 23")</f>
        <v>Post 23</v>
      </c>
      <c r="C814" s="2" t="str">
        <f>IFERROR(__xludf.DUMMYFUNCTION("""COMPUTED_VALUE"""),"LAG 77")</f>
        <v>LAG 77</v>
      </c>
      <c r="D814" s="2">
        <f>IFERROR(__xludf.DUMMYFUNCTION("""COMPUTED_VALUE"""),15.0)</f>
        <v>15</v>
      </c>
      <c r="E814" s="2" t="str">
        <f>IFERROR(__xludf.DUMMYFUNCTION("""COMPUTED_VALUE"""),"Mixlag")</f>
        <v>Mixlag</v>
      </c>
    </row>
    <row r="815" ht="15.75" customHeight="1">
      <c r="A815" s="18">
        <f>IFERROR(__xludf.DUMMYFUNCTION("""COMPUTED_VALUE"""),45857.60398189815)</f>
        <v>45857.60398</v>
      </c>
      <c r="B815" s="2" t="str">
        <f>IFERROR(__xludf.DUMMYFUNCTION("""COMPUTED_VALUE"""),"Post 23")</f>
        <v>Post 23</v>
      </c>
      <c r="C815" s="2" t="str">
        <f>IFERROR(__xludf.DUMMYFUNCTION("""COMPUTED_VALUE"""),"LAG 23")</f>
        <v>LAG 23</v>
      </c>
      <c r="D815" s="2">
        <f>IFERROR(__xludf.DUMMYFUNCTION("""COMPUTED_VALUE"""),15.0)</f>
        <v>15</v>
      </c>
      <c r="E815" s="2" t="str">
        <f>IFERROR(__xludf.DUMMYFUNCTION("""COMPUTED_VALUE"""),"Damelag")</f>
        <v>Damelag</v>
      </c>
    </row>
    <row r="816" ht="15.75" customHeight="1">
      <c r="A816" s="18">
        <f>IFERROR(__xludf.DUMMYFUNCTION("""COMPUTED_VALUE"""),45857.60407346065)</f>
        <v>45857.60407</v>
      </c>
      <c r="B816" s="2" t="str">
        <f>IFERROR(__xludf.DUMMYFUNCTION("""COMPUTED_VALUE"""),"Post 21")</f>
        <v>Post 21</v>
      </c>
      <c r="C816" s="2" t="str">
        <f>IFERROR(__xludf.DUMMYFUNCTION("""COMPUTED_VALUE"""),"LAG 84")</f>
        <v>LAG 84</v>
      </c>
      <c r="D816" s="2">
        <f>IFERROR(__xludf.DUMMYFUNCTION("""COMPUTED_VALUE"""),15.0)</f>
        <v>15</v>
      </c>
      <c r="E816" s="2" t="str">
        <f>IFERROR(__xludf.DUMMYFUNCTION("""COMPUTED_VALUE"""),"Herrelag")</f>
        <v>Herrelag</v>
      </c>
    </row>
    <row r="817" ht="15.75" customHeight="1">
      <c r="A817" s="18">
        <f>IFERROR(__xludf.DUMMYFUNCTION("""COMPUTED_VALUE"""),45857.60410335648)</f>
        <v>45857.6041</v>
      </c>
      <c r="B817" s="2" t="str">
        <f>IFERROR(__xludf.DUMMYFUNCTION("""COMPUTED_VALUE"""),"Post 21")</f>
        <v>Post 21</v>
      </c>
      <c r="C817" s="2" t="str">
        <f>IFERROR(__xludf.DUMMYFUNCTION("""COMPUTED_VALUE"""),"LAG 27")</f>
        <v>LAG 27</v>
      </c>
      <c r="D817" s="2">
        <f>IFERROR(__xludf.DUMMYFUNCTION("""COMPUTED_VALUE"""),20.0)</f>
        <v>20</v>
      </c>
      <c r="E817" s="2" t="str">
        <f>IFERROR(__xludf.DUMMYFUNCTION("""COMPUTED_VALUE"""),"Damelag")</f>
        <v>Damelag</v>
      </c>
    </row>
    <row r="818" ht="15.75" customHeight="1">
      <c r="A818" s="18">
        <f>IFERROR(__xludf.DUMMYFUNCTION("""COMPUTED_VALUE"""),45857.604276701386)</f>
        <v>45857.60428</v>
      </c>
      <c r="B818" s="2" t="str">
        <f>IFERROR(__xludf.DUMMYFUNCTION("""COMPUTED_VALUE"""),"Post 23")</f>
        <v>Post 23</v>
      </c>
      <c r="C818" s="2" t="str">
        <f>IFERROR(__xludf.DUMMYFUNCTION("""COMPUTED_VALUE"""),"LAG 26")</f>
        <v>LAG 26</v>
      </c>
      <c r="D818" s="2" t="str">
        <f>IFERROR(__xludf.DUMMYFUNCTION("""COMPUTED_VALUE"""),"7.5")</f>
        <v>7.5</v>
      </c>
      <c r="E818" s="2" t="str">
        <f>IFERROR(__xludf.DUMMYFUNCTION("""COMPUTED_VALUE"""),"Damelag")</f>
        <v>Damelag</v>
      </c>
    </row>
    <row r="819" ht="15.75" customHeight="1">
      <c r="A819" s="18">
        <f>IFERROR(__xludf.DUMMYFUNCTION("""COMPUTED_VALUE"""),45857.604379965276)</f>
        <v>45857.60438</v>
      </c>
      <c r="B819" s="2" t="str">
        <f>IFERROR(__xludf.DUMMYFUNCTION("""COMPUTED_VALUE"""),"Post 21")</f>
        <v>Post 21</v>
      </c>
      <c r="C819" s="2" t="str">
        <f>IFERROR(__xludf.DUMMYFUNCTION("""COMPUTED_VALUE"""),"LAG 82")</f>
        <v>LAG 82</v>
      </c>
      <c r="D819" s="2">
        <f>IFERROR(__xludf.DUMMYFUNCTION("""COMPUTED_VALUE"""),15.0)</f>
        <v>15</v>
      </c>
      <c r="E819" s="2" t="str">
        <f>IFERROR(__xludf.DUMMYFUNCTION("""COMPUTED_VALUE"""),"Mixlag")</f>
        <v>Mixlag</v>
      </c>
    </row>
    <row r="820" ht="15.75" customHeight="1">
      <c r="A820" s="18">
        <f>IFERROR(__xludf.DUMMYFUNCTION("""COMPUTED_VALUE"""),45857.604410405096)</f>
        <v>45857.60441</v>
      </c>
      <c r="B820" s="2" t="str">
        <f>IFERROR(__xludf.DUMMYFUNCTION("""COMPUTED_VALUE"""),"Post 23")</f>
        <v>Post 23</v>
      </c>
      <c r="C820" s="2" t="str">
        <f>IFERROR(__xludf.DUMMYFUNCTION("""COMPUTED_VALUE"""),"LAG 76")</f>
        <v>LAG 76</v>
      </c>
      <c r="D820" s="2">
        <f>IFERROR(__xludf.DUMMYFUNCTION("""COMPUTED_VALUE"""),18.0)</f>
        <v>18</v>
      </c>
      <c r="E820" s="2" t="str">
        <f>IFERROR(__xludf.DUMMYFUNCTION("""COMPUTED_VALUE"""),"Mixlag")</f>
        <v>Mixlag</v>
      </c>
    </row>
    <row r="821" ht="15.75" customHeight="1">
      <c r="A821" s="18">
        <f>IFERROR(__xludf.DUMMYFUNCTION("""COMPUTED_VALUE"""),45857.60445155093)</f>
        <v>45857.60445</v>
      </c>
      <c r="B821" s="2" t="str">
        <f>IFERROR(__xludf.DUMMYFUNCTION("""COMPUTED_VALUE"""),"Post 21")</f>
        <v>Post 21</v>
      </c>
      <c r="C821" s="2" t="str">
        <f>IFERROR(__xludf.DUMMYFUNCTION("""COMPUTED_VALUE"""),"LAG 28")</f>
        <v>LAG 28</v>
      </c>
      <c r="D821" s="2">
        <f>IFERROR(__xludf.DUMMYFUNCTION("""COMPUTED_VALUE"""),15.0)</f>
        <v>15</v>
      </c>
      <c r="E821" s="2" t="str">
        <f>IFERROR(__xludf.DUMMYFUNCTION("""COMPUTED_VALUE"""),"Damelag")</f>
        <v>Damelag</v>
      </c>
    </row>
    <row r="822" ht="15.75" customHeight="1">
      <c r="A822" s="18">
        <f>IFERROR(__xludf.DUMMYFUNCTION("""COMPUTED_VALUE"""),45857.60464960648)</f>
        <v>45857.60465</v>
      </c>
      <c r="B822" s="2" t="str">
        <f>IFERROR(__xludf.DUMMYFUNCTION("""COMPUTED_VALUE"""),"Post 21")</f>
        <v>Post 21</v>
      </c>
      <c r="C822" s="2" t="str">
        <f>IFERROR(__xludf.DUMMYFUNCTION("""COMPUTED_VALUE"""),"LAG 81")</f>
        <v>LAG 81</v>
      </c>
      <c r="D822" s="2">
        <f>IFERROR(__xludf.DUMMYFUNCTION("""COMPUTED_VALUE"""),15.0)</f>
        <v>15</v>
      </c>
      <c r="E822" s="2" t="str">
        <f>IFERROR(__xludf.DUMMYFUNCTION("""COMPUTED_VALUE"""),"Herrelag")</f>
        <v>Herrelag</v>
      </c>
    </row>
    <row r="823" ht="15.75" customHeight="1">
      <c r="A823" s="18">
        <f>IFERROR(__xludf.DUMMYFUNCTION("""COMPUTED_VALUE"""),45857.604810115736)</f>
        <v>45857.60481</v>
      </c>
      <c r="B823" s="2" t="str">
        <f>IFERROR(__xludf.DUMMYFUNCTION("""COMPUTED_VALUE"""),"Post 21")</f>
        <v>Post 21</v>
      </c>
      <c r="C823" s="2" t="str">
        <f>IFERROR(__xludf.DUMMYFUNCTION("""COMPUTED_VALUE"""),"LAG 31")</f>
        <v>LAG 31</v>
      </c>
      <c r="D823" s="2">
        <f>IFERROR(__xludf.DUMMYFUNCTION("""COMPUTED_VALUE"""),5.0)</f>
        <v>5</v>
      </c>
      <c r="E823" s="2" t="str">
        <f>IFERROR(__xludf.DUMMYFUNCTION("""COMPUTED_VALUE"""),"Mixlag")</f>
        <v>Mixlag</v>
      </c>
    </row>
    <row r="824" ht="15.75" customHeight="1">
      <c r="A824" s="18">
        <f>IFERROR(__xludf.DUMMYFUNCTION("""COMPUTED_VALUE"""),45857.60508552083)</f>
        <v>45857.60509</v>
      </c>
      <c r="B824" s="2" t="str">
        <f>IFERROR(__xludf.DUMMYFUNCTION("""COMPUTED_VALUE"""),"Post 23")</f>
        <v>Post 23</v>
      </c>
      <c r="C824" s="2" t="str">
        <f>IFERROR(__xludf.DUMMYFUNCTION("""COMPUTED_VALUE"""),"LAG 27")</f>
        <v>LAG 27</v>
      </c>
      <c r="D824" s="2">
        <f>IFERROR(__xludf.DUMMYFUNCTION("""COMPUTED_VALUE"""),10.0)</f>
        <v>10</v>
      </c>
      <c r="E824" s="2" t="str">
        <f>IFERROR(__xludf.DUMMYFUNCTION("""COMPUTED_VALUE"""),"Damelag")</f>
        <v>Damelag</v>
      </c>
    </row>
    <row r="825" ht="15.75" customHeight="1">
      <c r="A825" s="18">
        <f>IFERROR(__xludf.DUMMYFUNCTION("""COMPUTED_VALUE"""),45857.60509701389)</f>
        <v>45857.6051</v>
      </c>
      <c r="B825" s="2" t="str">
        <f>IFERROR(__xludf.DUMMYFUNCTION("""COMPUTED_VALUE"""),"Post 21")</f>
        <v>Post 21</v>
      </c>
      <c r="C825" s="2" t="str">
        <f>IFERROR(__xludf.DUMMYFUNCTION("""COMPUTED_VALUE"""),"LAG 80")</f>
        <v>LAG 80</v>
      </c>
      <c r="D825" s="2">
        <f>IFERROR(__xludf.DUMMYFUNCTION("""COMPUTED_VALUE"""),10.0)</f>
        <v>10</v>
      </c>
      <c r="E825" s="2" t="str">
        <f>IFERROR(__xludf.DUMMYFUNCTION("""COMPUTED_VALUE"""),"Herrelag")</f>
        <v>Herrelag</v>
      </c>
    </row>
    <row r="826" ht="15.75" customHeight="1">
      <c r="A826" s="18">
        <f>IFERROR(__xludf.DUMMYFUNCTION("""COMPUTED_VALUE"""),45857.605116018516)</f>
        <v>45857.60512</v>
      </c>
      <c r="B826" s="2" t="str">
        <f>IFERROR(__xludf.DUMMYFUNCTION("""COMPUTED_VALUE"""),"Post 23")</f>
        <v>Post 23</v>
      </c>
      <c r="C826" s="2" t="str">
        <f>IFERROR(__xludf.DUMMYFUNCTION("""COMPUTED_VALUE"""),"LAG 75")</f>
        <v>LAG 75</v>
      </c>
      <c r="D826" s="2">
        <f>IFERROR(__xludf.DUMMYFUNCTION("""COMPUTED_VALUE"""),18.0)</f>
        <v>18</v>
      </c>
      <c r="E826" s="2" t="str">
        <f>IFERROR(__xludf.DUMMYFUNCTION("""COMPUTED_VALUE"""),"Herrelag")</f>
        <v>Herrelag</v>
      </c>
    </row>
    <row r="827" ht="15.75" customHeight="1">
      <c r="A827" s="18">
        <f>IFERROR(__xludf.DUMMYFUNCTION("""COMPUTED_VALUE"""),45857.60514459491)</f>
        <v>45857.60514</v>
      </c>
      <c r="B827" s="2" t="str">
        <f>IFERROR(__xludf.DUMMYFUNCTION("""COMPUTED_VALUE"""),"Post 21")</f>
        <v>Post 21</v>
      </c>
      <c r="C827" s="2" t="str">
        <f>IFERROR(__xludf.DUMMYFUNCTION("""COMPUTED_VALUE"""),"LAG 33")</f>
        <v>LAG 33</v>
      </c>
      <c r="D827" s="2">
        <f>IFERROR(__xludf.DUMMYFUNCTION("""COMPUTED_VALUE"""),15.0)</f>
        <v>15</v>
      </c>
      <c r="E827" s="2" t="str">
        <f>IFERROR(__xludf.DUMMYFUNCTION("""COMPUTED_VALUE"""),"Herrelag")</f>
        <v>Herrelag</v>
      </c>
    </row>
    <row r="828" ht="15.75" customHeight="1">
      <c r="A828" s="18">
        <f>IFERROR(__xludf.DUMMYFUNCTION("""COMPUTED_VALUE"""),45857.60539719908)</f>
        <v>45857.6054</v>
      </c>
      <c r="B828" s="2" t="str">
        <f>IFERROR(__xludf.DUMMYFUNCTION("""COMPUTED_VALUE"""),"Post 21")</f>
        <v>Post 21</v>
      </c>
      <c r="C828" s="2" t="str">
        <f>IFERROR(__xludf.DUMMYFUNCTION("""COMPUTED_VALUE"""),"LAG 79")</f>
        <v>LAG 79</v>
      </c>
      <c r="D828" s="2">
        <f>IFERROR(__xludf.DUMMYFUNCTION("""COMPUTED_VALUE"""),10.0)</f>
        <v>10</v>
      </c>
      <c r="E828" s="2" t="str">
        <f>IFERROR(__xludf.DUMMYFUNCTION("""COMPUTED_VALUE"""),"Herrelag")</f>
        <v>Herrelag</v>
      </c>
    </row>
    <row r="829" ht="15.75" customHeight="1">
      <c r="A829" s="18">
        <f>IFERROR(__xludf.DUMMYFUNCTION("""COMPUTED_VALUE"""),45857.60544528935)</f>
        <v>45857.60545</v>
      </c>
      <c r="B829" s="2" t="str">
        <f>IFERROR(__xludf.DUMMYFUNCTION("""COMPUTED_VALUE"""),"Post 23")</f>
        <v>Post 23</v>
      </c>
      <c r="C829" s="2" t="str">
        <f>IFERROR(__xludf.DUMMYFUNCTION("""COMPUTED_VALUE"""),"LAG 28")</f>
        <v>LAG 28</v>
      </c>
      <c r="D829" s="2">
        <f>IFERROR(__xludf.DUMMYFUNCTION("""COMPUTED_VALUE"""),15.0)</f>
        <v>15</v>
      </c>
      <c r="E829" s="2" t="str">
        <f>IFERROR(__xludf.DUMMYFUNCTION("""COMPUTED_VALUE"""),"Damelag")</f>
        <v>Damelag</v>
      </c>
    </row>
    <row r="830" ht="15.75" customHeight="1">
      <c r="A830" s="18">
        <f>IFERROR(__xludf.DUMMYFUNCTION("""COMPUTED_VALUE"""),45857.60552950231)</f>
        <v>45857.60553</v>
      </c>
      <c r="B830" s="2" t="str">
        <f>IFERROR(__xludf.DUMMYFUNCTION("""COMPUTED_VALUE"""),"Post 23")</f>
        <v>Post 23</v>
      </c>
      <c r="C830" s="2" t="str">
        <f>IFERROR(__xludf.DUMMYFUNCTION("""COMPUTED_VALUE"""),"LAG 72")</f>
        <v>LAG 72</v>
      </c>
      <c r="D830" s="2">
        <f>IFERROR(__xludf.DUMMYFUNCTION("""COMPUTED_VALUE"""),18.0)</f>
        <v>18</v>
      </c>
      <c r="E830" s="2" t="str">
        <f>IFERROR(__xludf.DUMMYFUNCTION("""COMPUTED_VALUE"""),"Herrelag")</f>
        <v>Herrelag</v>
      </c>
    </row>
    <row r="831" ht="15.75" customHeight="1">
      <c r="A831" s="18">
        <f>IFERROR(__xludf.DUMMYFUNCTION("""COMPUTED_VALUE"""),45857.60566756944)</f>
        <v>45857.60567</v>
      </c>
      <c r="B831" s="2" t="str">
        <f>IFERROR(__xludf.DUMMYFUNCTION("""COMPUTED_VALUE"""),"Post 21")</f>
        <v>Post 21</v>
      </c>
      <c r="C831" s="2" t="str">
        <f>IFERROR(__xludf.DUMMYFUNCTION("""COMPUTED_VALUE"""),"LAG 78")</f>
        <v>LAG 78</v>
      </c>
      <c r="D831" s="2">
        <f>IFERROR(__xludf.DUMMYFUNCTION("""COMPUTED_VALUE"""),10.0)</f>
        <v>10</v>
      </c>
      <c r="E831" s="2" t="str">
        <f>IFERROR(__xludf.DUMMYFUNCTION("""COMPUTED_VALUE"""),"Damelag")</f>
        <v>Damelag</v>
      </c>
    </row>
    <row r="832" ht="15.75" customHeight="1">
      <c r="A832" s="18">
        <f>IFERROR(__xludf.DUMMYFUNCTION("""COMPUTED_VALUE"""),45857.605727476854)</f>
        <v>45857.60573</v>
      </c>
      <c r="B832" s="2" t="str">
        <f>IFERROR(__xludf.DUMMYFUNCTION("""COMPUTED_VALUE"""),"Post 11")</f>
        <v>Post 11</v>
      </c>
      <c r="C832" s="2" t="str">
        <f>IFERROR(__xludf.DUMMYFUNCTION("""COMPUTED_VALUE"""),"LAG 2")</f>
        <v>LAG 2</v>
      </c>
      <c r="D832" s="2">
        <f>IFERROR(__xludf.DUMMYFUNCTION("""COMPUTED_VALUE"""),5.0)</f>
        <v>5</v>
      </c>
      <c r="E832" s="2" t="str">
        <f>IFERROR(__xludf.DUMMYFUNCTION("""COMPUTED_VALUE"""),"Damelag")</f>
        <v>Damelag</v>
      </c>
    </row>
    <row r="833" ht="15.75" customHeight="1">
      <c r="A833" s="18">
        <f>IFERROR(__xludf.DUMMYFUNCTION("""COMPUTED_VALUE"""),45857.60575858796)</f>
        <v>45857.60576</v>
      </c>
      <c r="B833" s="2" t="str">
        <f>IFERROR(__xludf.DUMMYFUNCTION("""COMPUTED_VALUE"""),"Post 23")</f>
        <v>Post 23</v>
      </c>
      <c r="C833" s="2" t="str">
        <f>IFERROR(__xludf.DUMMYFUNCTION("""COMPUTED_VALUE"""),"LAG 31")</f>
        <v>LAG 31</v>
      </c>
      <c r="D833" s="2" t="str">
        <f>IFERROR(__xludf.DUMMYFUNCTION("""COMPUTED_VALUE"""),"2.5")</f>
        <v>2.5</v>
      </c>
      <c r="E833" s="2" t="str">
        <f>IFERROR(__xludf.DUMMYFUNCTION("""COMPUTED_VALUE"""),"Mixlag")</f>
        <v>Mixlag</v>
      </c>
    </row>
    <row r="834" ht="15.75" customHeight="1">
      <c r="A834" s="18">
        <f>IFERROR(__xludf.DUMMYFUNCTION("""COMPUTED_VALUE"""),45857.60578814815)</f>
        <v>45857.60579</v>
      </c>
      <c r="B834" s="2" t="str">
        <f>IFERROR(__xludf.DUMMYFUNCTION("""COMPUTED_VALUE"""),"Post 21")</f>
        <v>Post 21</v>
      </c>
      <c r="C834" s="2" t="str">
        <f>IFERROR(__xludf.DUMMYFUNCTION("""COMPUTED_VALUE"""),"LAG 35")</f>
        <v>LAG 35</v>
      </c>
      <c r="D834" s="2">
        <f>IFERROR(__xludf.DUMMYFUNCTION("""COMPUTED_VALUE"""),20.0)</f>
        <v>20</v>
      </c>
      <c r="E834" s="2" t="str">
        <f>IFERROR(__xludf.DUMMYFUNCTION("""COMPUTED_VALUE"""),"Damelag")</f>
        <v>Damelag</v>
      </c>
    </row>
    <row r="835" ht="15.75" customHeight="1">
      <c r="A835" s="18">
        <f>IFERROR(__xludf.DUMMYFUNCTION("""COMPUTED_VALUE"""),45857.60600039352)</f>
        <v>45857.606</v>
      </c>
      <c r="B835" s="2" t="str">
        <f>IFERROR(__xludf.DUMMYFUNCTION("""COMPUTED_VALUE"""),"Post 21")</f>
        <v>Post 21</v>
      </c>
      <c r="C835" s="2" t="str">
        <f>IFERROR(__xludf.DUMMYFUNCTION("""COMPUTED_VALUE"""),"LAG 78")</f>
        <v>LAG 78</v>
      </c>
      <c r="D835" s="2">
        <f>IFERROR(__xludf.DUMMYFUNCTION("""COMPUTED_VALUE"""),5.0)</f>
        <v>5</v>
      </c>
      <c r="E835" s="2" t="str">
        <f>IFERROR(__xludf.DUMMYFUNCTION("""COMPUTED_VALUE"""),"Damelag")</f>
        <v>Damelag</v>
      </c>
    </row>
    <row r="836" ht="15.75" customHeight="1">
      <c r="A836" s="18">
        <f>IFERROR(__xludf.DUMMYFUNCTION("""COMPUTED_VALUE"""),45857.60606652778)</f>
        <v>45857.60607</v>
      </c>
      <c r="B836" s="2" t="str">
        <f>IFERROR(__xludf.DUMMYFUNCTION("""COMPUTED_VALUE"""),"Post 23")</f>
        <v>Post 23</v>
      </c>
      <c r="C836" s="2" t="str">
        <f>IFERROR(__xludf.DUMMYFUNCTION("""COMPUTED_VALUE"""),"LAG 69")</f>
        <v>LAG 69</v>
      </c>
      <c r="D836" s="2" t="str">
        <f>IFERROR(__xludf.DUMMYFUNCTION("""COMPUTED_VALUE"""),"12.5")</f>
        <v>12.5</v>
      </c>
      <c r="E836" s="2" t="str">
        <f>IFERROR(__xludf.DUMMYFUNCTION("""COMPUTED_VALUE"""),"Herrelag")</f>
        <v>Herrelag</v>
      </c>
    </row>
    <row r="837" ht="15.75" customHeight="1">
      <c r="A837" s="18">
        <f>IFERROR(__xludf.DUMMYFUNCTION("""COMPUTED_VALUE"""),45857.6060705787)</f>
        <v>45857.60607</v>
      </c>
      <c r="B837" s="2" t="str">
        <f>IFERROR(__xludf.DUMMYFUNCTION("""COMPUTED_VALUE"""),"Post 23")</f>
        <v>Post 23</v>
      </c>
      <c r="C837" s="2" t="str">
        <f>IFERROR(__xludf.DUMMYFUNCTION("""COMPUTED_VALUE"""),"LAG 34")</f>
        <v>LAG 34</v>
      </c>
      <c r="D837" s="2">
        <f>IFERROR(__xludf.DUMMYFUNCTION("""COMPUTED_VALUE"""),10.0)</f>
        <v>10</v>
      </c>
      <c r="E837" s="2" t="str">
        <f>IFERROR(__xludf.DUMMYFUNCTION("""COMPUTED_VALUE"""),"Damelag")</f>
        <v>Damelag</v>
      </c>
    </row>
    <row r="838" ht="15.75" customHeight="1">
      <c r="A838" s="18">
        <f>IFERROR(__xludf.DUMMYFUNCTION("""COMPUTED_VALUE"""),45857.6061096875)</f>
        <v>45857.60611</v>
      </c>
      <c r="B838" s="2" t="str">
        <f>IFERROR(__xludf.DUMMYFUNCTION("""COMPUTED_VALUE"""),"Post 11")</f>
        <v>Post 11</v>
      </c>
      <c r="C838" s="2" t="str">
        <f>IFERROR(__xludf.DUMMYFUNCTION("""COMPUTED_VALUE"""),"LAG 4")</f>
        <v>LAG 4</v>
      </c>
      <c r="D838" s="2">
        <f>IFERROR(__xludf.DUMMYFUNCTION("""COMPUTED_VALUE"""),20.0)</f>
        <v>20</v>
      </c>
      <c r="E838" s="2" t="str">
        <f>IFERROR(__xludf.DUMMYFUNCTION("""COMPUTED_VALUE"""),"Herrelag")</f>
        <v>Herrelag</v>
      </c>
    </row>
    <row r="839" ht="15.75" customHeight="1">
      <c r="A839" s="18">
        <f>IFERROR(__xludf.DUMMYFUNCTION("""COMPUTED_VALUE"""),45857.6061165625)</f>
        <v>45857.60612</v>
      </c>
      <c r="B839" s="2" t="str">
        <f>IFERROR(__xludf.DUMMYFUNCTION("""COMPUTED_VALUE"""),"Post 21")</f>
        <v>Post 21</v>
      </c>
      <c r="C839" s="2" t="str">
        <f>IFERROR(__xludf.DUMMYFUNCTION("""COMPUTED_VALUE"""),"LAG 37")</f>
        <v>LAG 37</v>
      </c>
      <c r="D839" s="2">
        <f>IFERROR(__xludf.DUMMYFUNCTION("""COMPUTED_VALUE"""),5.0)</f>
        <v>5</v>
      </c>
      <c r="E839" s="2" t="str">
        <f>IFERROR(__xludf.DUMMYFUNCTION("""COMPUTED_VALUE"""),"Herrelag")</f>
        <v>Herrelag</v>
      </c>
    </row>
    <row r="840" ht="15.75" customHeight="1">
      <c r="A840" s="18">
        <f>IFERROR(__xludf.DUMMYFUNCTION("""COMPUTED_VALUE"""),45857.606252384256)</f>
        <v>45857.60625</v>
      </c>
      <c r="B840" s="2" t="str">
        <f>IFERROR(__xludf.DUMMYFUNCTION("""COMPUTED_VALUE"""),"Post 11")</f>
        <v>Post 11</v>
      </c>
      <c r="C840" s="2" t="str">
        <f>IFERROR(__xludf.DUMMYFUNCTION("""COMPUTED_VALUE"""),"LAG 5")</f>
        <v>LAG 5</v>
      </c>
      <c r="D840" s="2">
        <f>IFERROR(__xludf.DUMMYFUNCTION("""COMPUTED_VALUE"""),5.0)</f>
        <v>5</v>
      </c>
      <c r="E840" s="2" t="str">
        <f>IFERROR(__xludf.DUMMYFUNCTION("""COMPUTED_VALUE"""),"Mixlag")</f>
        <v>Mixlag</v>
      </c>
    </row>
    <row r="841" ht="15.75" customHeight="1">
      <c r="A841" s="18">
        <f>IFERROR(__xludf.DUMMYFUNCTION("""COMPUTED_VALUE"""),45857.60634975694)</f>
        <v>45857.60635</v>
      </c>
      <c r="B841" s="2" t="str">
        <f>IFERROR(__xludf.DUMMYFUNCTION("""COMPUTED_VALUE"""),"Post 21")</f>
        <v>Post 21</v>
      </c>
      <c r="C841" s="2" t="str">
        <f>IFERROR(__xludf.DUMMYFUNCTION("""COMPUTED_VALUE"""),"LAG 76")</f>
        <v>LAG 76</v>
      </c>
      <c r="D841" s="2">
        <f>IFERROR(__xludf.DUMMYFUNCTION("""COMPUTED_VALUE"""),5.0)</f>
        <v>5</v>
      </c>
      <c r="E841" s="2" t="str">
        <f>IFERROR(__xludf.DUMMYFUNCTION("""COMPUTED_VALUE"""),"Herrelag")</f>
        <v>Herrelag</v>
      </c>
    </row>
    <row r="842" ht="15.75" customHeight="1">
      <c r="A842" s="18">
        <f>IFERROR(__xludf.DUMMYFUNCTION("""COMPUTED_VALUE"""),45857.606362199076)</f>
        <v>45857.60636</v>
      </c>
      <c r="B842" s="2" t="str">
        <f>IFERROR(__xludf.DUMMYFUNCTION("""COMPUTED_VALUE"""),"Post 23")</f>
        <v>Post 23</v>
      </c>
      <c r="C842" s="2" t="str">
        <f>IFERROR(__xludf.DUMMYFUNCTION("""COMPUTED_VALUE"""),"LAG 68")</f>
        <v>LAG 68</v>
      </c>
      <c r="D842" s="2">
        <f>IFERROR(__xludf.DUMMYFUNCTION("""COMPUTED_VALUE"""),15.0)</f>
        <v>15</v>
      </c>
      <c r="E842" s="2" t="str">
        <f>IFERROR(__xludf.DUMMYFUNCTION("""COMPUTED_VALUE"""),"Herrelag")</f>
        <v>Herrelag</v>
      </c>
    </row>
    <row r="843" ht="15.75" customHeight="1">
      <c r="A843" s="18">
        <f>IFERROR(__xludf.DUMMYFUNCTION("""COMPUTED_VALUE"""),45857.60639018519)</f>
        <v>45857.60639</v>
      </c>
      <c r="B843" s="2" t="str">
        <f>IFERROR(__xludf.DUMMYFUNCTION("""COMPUTED_VALUE"""),"Post 11")</f>
        <v>Post 11</v>
      </c>
      <c r="C843" s="2" t="str">
        <f>IFERROR(__xludf.DUMMYFUNCTION("""COMPUTED_VALUE"""),"LAG 6")</f>
        <v>LAG 6</v>
      </c>
      <c r="D843" s="2">
        <f>IFERROR(__xludf.DUMMYFUNCTION("""COMPUTED_VALUE"""),5.0)</f>
        <v>5</v>
      </c>
      <c r="E843" s="2" t="str">
        <f>IFERROR(__xludf.DUMMYFUNCTION("""COMPUTED_VALUE"""),"Mixlag")</f>
        <v>Mixlag</v>
      </c>
    </row>
    <row r="844" ht="15.75" customHeight="1">
      <c r="A844" s="18">
        <f>IFERROR(__xludf.DUMMYFUNCTION("""COMPUTED_VALUE"""),45857.606525462965)</f>
        <v>45857.60653</v>
      </c>
      <c r="B844" s="2" t="str">
        <f>IFERROR(__xludf.DUMMYFUNCTION("""COMPUTED_VALUE"""),"Post 23")</f>
        <v>Post 23</v>
      </c>
      <c r="C844" s="2" t="str">
        <f>IFERROR(__xludf.DUMMYFUNCTION("""COMPUTED_VALUE"""),"LAG 34")</f>
        <v>LAG 34</v>
      </c>
      <c r="D844" s="2">
        <f>IFERROR(__xludf.DUMMYFUNCTION("""COMPUTED_VALUE"""),10.0)</f>
        <v>10</v>
      </c>
      <c r="E844" s="2" t="str">
        <f>IFERROR(__xludf.DUMMYFUNCTION("""COMPUTED_VALUE"""),"Damelag")</f>
        <v>Damelag</v>
      </c>
    </row>
    <row r="845" ht="15.75" customHeight="1">
      <c r="A845" s="18">
        <f>IFERROR(__xludf.DUMMYFUNCTION("""COMPUTED_VALUE"""),45857.6066543287)</f>
        <v>45857.60665</v>
      </c>
      <c r="B845" s="2" t="str">
        <f>IFERROR(__xludf.DUMMYFUNCTION("""COMPUTED_VALUE"""),"Post 11")</f>
        <v>Post 11</v>
      </c>
      <c r="C845" s="2" t="str">
        <f>IFERROR(__xludf.DUMMYFUNCTION("""COMPUTED_VALUE"""),"LAG 7")</f>
        <v>LAG 7</v>
      </c>
      <c r="D845" s="2">
        <f>IFERROR(__xludf.DUMMYFUNCTION("""COMPUTED_VALUE"""),5.0)</f>
        <v>5</v>
      </c>
      <c r="E845" s="2" t="str">
        <f>IFERROR(__xludf.DUMMYFUNCTION("""COMPUTED_VALUE"""),"Mixlag")</f>
        <v>Mixlag</v>
      </c>
    </row>
    <row r="846" ht="15.75" customHeight="1">
      <c r="A846" s="18">
        <f>IFERROR(__xludf.DUMMYFUNCTION("""COMPUTED_VALUE"""),45857.60678018519)</f>
        <v>45857.60678</v>
      </c>
      <c r="B846" s="2" t="str">
        <f>IFERROR(__xludf.DUMMYFUNCTION("""COMPUTED_VALUE"""),"Post 11")</f>
        <v>Post 11</v>
      </c>
      <c r="C846" s="2" t="str">
        <f>IFERROR(__xludf.DUMMYFUNCTION("""COMPUTED_VALUE"""),"LAG 11")</f>
        <v>LAG 11</v>
      </c>
      <c r="D846" s="2">
        <f>IFERROR(__xludf.DUMMYFUNCTION("""COMPUTED_VALUE"""),5.0)</f>
        <v>5</v>
      </c>
      <c r="E846" s="2" t="str">
        <f>IFERROR(__xludf.DUMMYFUNCTION("""COMPUTED_VALUE"""),"Damelag")</f>
        <v>Damelag</v>
      </c>
    </row>
    <row r="847" ht="15.75" customHeight="1">
      <c r="A847" s="18">
        <f>IFERROR(__xludf.DUMMYFUNCTION("""COMPUTED_VALUE"""),45857.606785763885)</f>
        <v>45857.60679</v>
      </c>
      <c r="B847" s="2" t="str">
        <f>IFERROR(__xludf.DUMMYFUNCTION("""COMPUTED_VALUE"""),"Post 23")</f>
        <v>Post 23</v>
      </c>
      <c r="C847" s="2" t="str">
        <f>IFERROR(__xludf.DUMMYFUNCTION("""COMPUTED_VALUE"""),"LAG 67")</f>
        <v>LAG 67</v>
      </c>
      <c r="D847" s="2">
        <f>IFERROR(__xludf.DUMMYFUNCTION("""COMPUTED_VALUE"""),15.0)</f>
        <v>15</v>
      </c>
      <c r="E847" s="2" t="str">
        <f>IFERROR(__xludf.DUMMYFUNCTION("""COMPUTED_VALUE"""),"Damelag")</f>
        <v>Damelag</v>
      </c>
    </row>
    <row r="848" ht="15.75" customHeight="1">
      <c r="A848" s="18">
        <f>IFERROR(__xludf.DUMMYFUNCTION("""COMPUTED_VALUE"""),45857.606809351855)</f>
        <v>45857.60681</v>
      </c>
      <c r="B848" s="2" t="str">
        <f>IFERROR(__xludf.DUMMYFUNCTION("""COMPUTED_VALUE"""),"Post 21")</f>
        <v>Post 21</v>
      </c>
      <c r="C848" s="2" t="str">
        <f>IFERROR(__xludf.DUMMYFUNCTION("""COMPUTED_VALUE"""),"LAG 41")</f>
        <v>LAG 41</v>
      </c>
      <c r="D848" s="2">
        <f>IFERROR(__xludf.DUMMYFUNCTION("""COMPUTED_VALUE"""),5.0)</f>
        <v>5</v>
      </c>
      <c r="E848" s="2" t="str">
        <f>IFERROR(__xludf.DUMMYFUNCTION("""COMPUTED_VALUE"""),"Damelag")</f>
        <v>Damelag</v>
      </c>
    </row>
    <row r="849" ht="15.75" customHeight="1">
      <c r="A849" s="18">
        <f>IFERROR(__xludf.DUMMYFUNCTION("""COMPUTED_VALUE"""),45857.6069190625)</f>
        <v>45857.60692</v>
      </c>
      <c r="B849" s="2" t="str">
        <f>IFERROR(__xludf.DUMMYFUNCTION("""COMPUTED_VALUE"""),"Post 11")</f>
        <v>Post 11</v>
      </c>
      <c r="C849" s="2" t="str">
        <f>IFERROR(__xludf.DUMMYFUNCTION("""COMPUTED_VALUE"""),"LAG 12")</f>
        <v>LAG 12</v>
      </c>
      <c r="D849" s="2">
        <f>IFERROR(__xludf.DUMMYFUNCTION("""COMPUTED_VALUE"""),5.0)</f>
        <v>5</v>
      </c>
      <c r="E849" s="2" t="str">
        <f>IFERROR(__xludf.DUMMYFUNCTION("""COMPUTED_VALUE"""),"Damelag")</f>
        <v>Damelag</v>
      </c>
    </row>
    <row r="850" ht="15.75" customHeight="1">
      <c r="A850" s="18">
        <f>IFERROR(__xludf.DUMMYFUNCTION("""COMPUTED_VALUE"""),45857.60692921296)</f>
        <v>45857.60693</v>
      </c>
      <c r="B850" s="2" t="str">
        <f>IFERROR(__xludf.DUMMYFUNCTION("""COMPUTED_VALUE"""),"Post 23")</f>
        <v>Post 23</v>
      </c>
      <c r="C850" s="2" t="str">
        <f>IFERROR(__xludf.DUMMYFUNCTION("""COMPUTED_VALUE"""),"LAG 37")</f>
        <v>LAG 37</v>
      </c>
      <c r="D850" s="2">
        <f>IFERROR(__xludf.DUMMYFUNCTION("""COMPUTED_VALUE"""),20.0)</f>
        <v>20</v>
      </c>
      <c r="E850" s="2" t="str">
        <f>IFERROR(__xludf.DUMMYFUNCTION("""COMPUTED_VALUE"""),"Herrelag")</f>
        <v>Herrelag</v>
      </c>
    </row>
    <row r="851" ht="15.75" customHeight="1">
      <c r="A851" s="18">
        <f>IFERROR(__xludf.DUMMYFUNCTION("""COMPUTED_VALUE"""),45857.607059305556)</f>
        <v>45857.60706</v>
      </c>
      <c r="B851" s="2" t="str">
        <f>IFERROR(__xludf.DUMMYFUNCTION("""COMPUTED_VALUE"""),"Post 11")</f>
        <v>Post 11</v>
      </c>
      <c r="C851" s="2" t="str">
        <f>IFERROR(__xludf.DUMMYFUNCTION("""COMPUTED_VALUE"""),"LAG 13")</f>
        <v>LAG 13</v>
      </c>
      <c r="D851" s="2">
        <f>IFERROR(__xludf.DUMMYFUNCTION("""COMPUTED_VALUE"""),5.0)</f>
        <v>5</v>
      </c>
      <c r="E851" s="2" t="str">
        <f>IFERROR(__xludf.DUMMYFUNCTION("""COMPUTED_VALUE"""),"Herrelag")</f>
        <v>Herrelag</v>
      </c>
    </row>
    <row r="852" ht="15.75" customHeight="1">
      <c r="A852" s="18">
        <f>IFERROR(__xludf.DUMMYFUNCTION("""COMPUTED_VALUE"""),45857.60718148148)</f>
        <v>45857.60718</v>
      </c>
      <c r="B852" s="2" t="str">
        <f>IFERROR(__xludf.DUMMYFUNCTION("""COMPUTED_VALUE"""),"Post 11")</f>
        <v>Post 11</v>
      </c>
      <c r="C852" s="2" t="str">
        <f>IFERROR(__xludf.DUMMYFUNCTION("""COMPUTED_VALUE"""),"LAG 16")</f>
        <v>LAG 16</v>
      </c>
      <c r="D852" s="2">
        <f>IFERROR(__xludf.DUMMYFUNCTION("""COMPUTED_VALUE"""),5.0)</f>
        <v>5</v>
      </c>
      <c r="E852" s="2" t="str">
        <f>IFERROR(__xludf.DUMMYFUNCTION("""COMPUTED_VALUE"""),"Herrelag")</f>
        <v>Herrelag</v>
      </c>
    </row>
    <row r="853" ht="15.75" customHeight="1">
      <c r="A853" s="18">
        <f>IFERROR(__xludf.DUMMYFUNCTION("""COMPUTED_VALUE"""),45857.60721342593)</f>
        <v>45857.60721</v>
      </c>
      <c r="B853" s="2" t="str">
        <f>IFERROR(__xludf.DUMMYFUNCTION("""COMPUTED_VALUE"""),"Post 23")</f>
        <v>Post 23</v>
      </c>
      <c r="C853" s="2" t="str">
        <f>IFERROR(__xludf.DUMMYFUNCTION("""COMPUTED_VALUE"""),"LAG 40")</f>
        <v>LAG 40</v>
      </c>
      <c r="D853" s="2" t="str">
        <f>IFERROR(__xludf.DUMMYFUNCTION("""COMPUTED_VALUE"""),"7.5")</f>
        <v>7.5</v>
      </c>
      <c r="E853" s="2" t="str">
        <f>IFERROR(__xludf.DUMMYFUNCTION("""COMPUTED_VALUE"""),"Damelag")</f>
        <v>Damelag</v>
      </c>
    </row>
    <row r="854" ht="15.75" customHeight="1">
      <c r="A854" s="18">
        <f>IFERROR(__xludf.DUMMYFUNCTION("""COMPUTED_VALUE"""),45857.6072293287)</f>
        <v>45857.60723</v>
      </c>
      <c r="B854" s="2" t="str">
        <f>IFERROR(__xludf.DUMMYFUNCTION("""COMPUTED_VALUE"""),"Post 21")</f>
        <v>Post 21</v>
      </c>
      <c r="C854" s="2" t="str">
        <f>IFERROR(__xludf.DUMMYFUNCTION("""COMPUTED_VALUE"""),"LAG 42")</f>
        <v>LAG 42</v>
      </c>
      <c r="D854" s="2">
        <f>IFERROR(__xludf.DUMMYFUNCTION("""COMPUTED_VALUE"""),20.0)</f>
        <v>20</v>
      </c>
      <c r="E854" s="2" t="str">
        <f>IFERROR(__xludf.DUMMYFUNCTION("""COMPUTED_VALUE"""),"Damelag")</f>
        <v>Damelag</v>
      </c>
    </row>
    <row r="855" ht="15.75" customHeight="1">
      <c r="A855" s="18">
        <f>IFERROR(__xludf.DUMMYFUNCTION("""COMPUTED_VALUE"""),45857.607326666664)</f>
        <v>45857.60733</v>
      </c>
      <c r="B855" s="2" t="str">
        <f>IFERROR(__xludf.DUMMYFUNCTION("""COMPUTED_VALUE"""),"Post 11")</f>
        <v>Post 11</v>
      </c>
      <c r="C855" s="2" t="str">
        <f>IFERROR(__xludf.DUMMYFUNCTION("""COMPUTED_VALUE"""),"LAG 17")</f>
        <v>LAG 17</v>
      </c>
      <c r="D855" s="2">
        <f>IFERROR(__xludf.DUMMYFUNCTION("""COMPUTED_VALUE"""),20.0)</f>
        <v>20</v>
      </c>
      <c r="E855" s="2" t="str">
        <f>IFERROR(__xludf.DUMMYFUNCTION("""COMPUTED_VALUE"""),"Damelag")</f>
        <v>Damelag</v>
      </c>
    </row>
    <row r="856" ht="15.75" customHeight="1">
      <c r="A856" s="18">
        <f>IFERROR(__xludf.DUMMYFUNCTION("""COMPUTED_VALUE"""),45857.60744677084)</f>
        <v>45857.60745</v>
      </c>
      <c r="B856" s="2" t="str">
        <f>IFERROR(__xludf.DUMMYFUNCTION("""COMPUTED_VALUE"""),"Post 11")</f>
        <v>Post 11</v>
      </c>
      <c r="C856" s="2" t="str">
        <f>IFERROR(__xludf.DUMMYFUNCTION("""COMPUTED_VALUE"""),"LAG 19")</f>
        <v>LAG 19</v>
      </c>
      <c r="D856" s="2">
        <f>IFERROR(__xludf.DUMMYFUNCTION("""COMPUTED_VALUE"""),20.0)</f>
        <v>20</v>
      </c>
      <c r="E856" s="2" t="str">
        <f>IFERROR(__xludf.DUMMYFUNCTION("""COMPUTED_VALUE"""),"Herrelag")</f>
        <v>Herrelag</v>
      </c>
    </row>
    <row r="857" ht="15.75" customHeight="1">
      <c r="A857" s="18">
        <f>IFERROR(__xludf.DUMMYFUNCTION("""COMPUTED_VALUE"""),45857.60754171296)</f>
        <v>45857.60754</v>
      </c>
      <c r="B857" s="2" t="str">
        <f>IFERROR(__xludf.DUMMYFUNCTION("""COMPUTED_VALUE"""),"Post 23")</f>
        <v>Post 23</v>
      </c>
      <c r="C857" s="2" t="str">
        <f>IFERROR(__xludf.DUMMYFUNCTION("""COMPUTED_VALUE"""),"LAG 66")</f>
        <v>LAG 66</v>
      </c>
      <c r="D857" s="2" t="str">
        <f>IFERROR(__xludf.DUMMYFUNCTION("""COMPUTED_VALUE"""),"12.5")</f>
        <v>12.5</v>
      </c>
      <c r="E857" s="2" t="str">
        <f>IFERROR(__xludf.DUMMYFUNCTION("""COMPUTED_VALUE"""),"Damelag")</f>
        <v>Damelag</v>
      </c>
    </row>
    <row r="858" ht="15.75" customHeight="1">
      <c r="A858" s="18">
        <f>IFERROR(__xludf.DUMMYFUNCTION("""COMPUTED_VALUE"""),45857.607565625)</f>
        <v>45857.60757</v>
      </c>
      <c r="B858" s="2" t="str">
        <f>IFERROR(__xludf.DUMMYFUNCTION("""COMPUTED_VALUE"""),"Post 11")</f>
        <v>Post 11</v>
      </c>
      <c r="C858" s="2" t="str">
        <f>IFERROR(__xludf.DUMMYFUNCTION("""COMPUTED_VALUE"""),"LAG 22")</f>
        <v>LAG 22</v>
      </c>
      <c r="D858" s="2">
        <f>IFERROR(__xludf.DUMMYFUNCTION("""COMPUTED_VALUE"""),5.0)</f>
        <v>5</v>
      </c>
      <c r="E858" s="2" t="str">
        <f>IFERROR(__xludf.DUMMYFUNCTION("""COMPUTED_VALUE"""),"Damelag")</f>
        <v>Damelag</v>
      </c>
    </row>
    <row r="859" ht="15.75" customHeight="1">
      <c r="A859" s="18">
        <f>IFERROR(__xludf.DUMMYFUNCTION("""COMPUTED_VALUE"""),45857.60760502315)</f>
        <v>45857.60761</v>
      </c>
      <c r="B859" s="2" t="str">
        <f>IFERROR(__xludf.DUMMYFUNCTION("""COMPUTED_VALUE"""),"Post 23")</f>
        <v>Post 23</v>
      </c>
      <c r="C859" s="2" t="str">
        <f>IFERROR(__xludf.DUMMYFUNCTION("""COMPUTED_VALUE"""),"LAG 41")</f>
        <v>LAG 41</v>
      </c>
      <c r="D859" s="2">
        <f>IFERROR(__xludf.DUMMYFUNCTION("""COMPUTED_VALUE"""),18.0)</f>
        <v>18</v>
      </c>
      <c r="E859" s="2" t="str">
        <f>IFERROR(__xludf.DUMMYFUNCTION("""COMPUTED_VALUE"""),"Mixlag")</f>
        <v>Mixlag</v>
      </c>
    </row>
    <row r="860" ht="15.75" customHeight="1">
      <c r="A860" s="18">
        <f>IFERROR(__xludf.DUMMYFUNCTION("""COMPUTED_VALUE"""),45857.607681574074)</f>
        <v>45857.60768</v>
      </c>
      <c r="B860" s="2" t="str">
        <f>IFERROR(__xludf.DUMMYFUNCTION("""COMPUTED_VALUE"""),"Post 21")</f>
        <v>Post 21</v>
      </c>
      <c r="C860" s="2" t="str">
        <f>IFERROR(__xludf.DUMMYFUNCTION("""COMPUTED_VALUE"""),"LAG 76")</f>
        <v>LAG 76</v>
      </c>
      <c r="D860" s="2">
        <f>IFERROR(__xludf.DUMMYFUNCTION("""COMPUTED_VALUE"""),5.0)</f>
        <v>5</v>
      </c>
      <c r="E860" s="2" t="str">
        <f>IFERROR(__xludf.DUMMYFUNCTION("""COMPUTED_VALUE"""),"Herrelag")</f>
        <v>Herrelag</v>
      </c>
    </row>
    <row r="861" ht="15.75" customHeight="1">
      <c r="A861" s="18">
        <f>IFERROR(__xludf.DUMMYFUNCTION("""COMPUTED_VALUE"""),45857.607756620375)</f>
        <v>45857.60776</v>
      </c>
      <c r="B861" s="2" t="str">
        <f>IFERROR(__xludf.DUMMYFUNCTION("""COMPUTED_VALUE"""),"Post 11")</f>
        <v>Post 11</v>
      </c>
      <c r="C861" s="2" t="str">
        <f>IFERROR(__xludf.DUMMYFUNCTION("""COMPUTED_VALUE"""),"LAG 23")</f>
        <v>LAG 23</v>
      </c>
      <c r="D861" s="2">
        <f>IFERROR(__xludf.DUMMYFUNCTION("""COMPUTED_VALUE"""),5.0)</f>
        <v>5</v>
      </c>
      <c r="E861" s="2" t="str">
        <f>IFERROR(__xludf.DUMMYFUNCTION("""COMPUTED_VALUE"""),"Damelag")</f>
        <v>Damelag</v>
      </c>
    </row>
    <row r="862" ht="15.75" customHeight="1">
      <c r="A862" s="18">
        <f>IFERROR(__xludf.DUMMYFUNCTION("""COMPUTED_VALUE"""),45857.60784513889)</f>
        <v>45857.60785</v>
      </c>
      <c r="B862" s="2" t="str">
        <f>IFERROR(__xludf.DUMMYFUNCTION("""COMPUTED_VALUE"""),"Post 23")</f>
        <v>Post 23</v>
      </c>
      <c r="C862" s="2" t="str">
        <f>IFERROR(__xludf.DUMMYFUNCTION("""COMPUTED_VALUE"""),"LAG 59")</f>
        <v>LAG 59</v>
      </c>
      <c r="D862" s="2">
        <f>IFERROR(__xludf.DUMMYFUNCTION("""COMPUTED_VALUE"""),15.0)</f>
        <v>15</v>
      </c>
      <c r="E862" s="2" t="str">
        <f>IFERROR(__xludf.DUMMYFUNCTION("""COMPUTED_VALUE"""),"Damelag")</f>
        <v>Damelag</v>
      </c>
    </row>
    <row r="863" ht="15.75" customHeight="1">
      <c r="A863" s="18">
        <f>IFERROR(__xludf.DUMMYFUNCTION("""COMPUTED_VALUE"""),45857.60792253472)</f>
        <v>45857.60792</v>
      </c>
      <c r="B863" s="2" t="str">
        <f>IFERROR(__xludf.DUMMYFUNCTION("""COMPUTED_VALUE"""),"Post 23")</f>
        <v>Post 23</v>
      </c>
      <c r="C863" s="2" t="str">
        <f>IFERROR(__xludf.DUMMYFUNCTION("""COMPUTED_VALUE"""),"LAG 48")</f>
        <v>LAG 48</v>
      </c>
      <c r="D863" s="2">
        <f>IFERROR(__xludf.DUMMYFUNCTION("""COMPUTED_VALUE"""),10.0)</f>
        <v>10</v>
      </c>
      <c r="E863" s="2" t="str">
        <f>IFERROR(__xludf.DUMMYFUNCTION("""COMPUTED_VALUE"""),"Damelag")</f>
        <v>Damelag</v>
      </c>
    </row>
    <row r="864" ht="15.75" customHeight="1">
      <c r="A864" s="18">
        <f>IFERROR(__xludf.DUMMYFUNCTION("""COMPUTED_VALUE"""),45857.60806875)</f>
        <v>45857.60807</v>
      </c>
      <c r="B864" s="2" t="str">
        <f>IFERROR(__xludf.DUMMYFUNCTION("""COMPUTED_VALUE"""),"Post 11")</f>
        <v>Post 11</v>
      </c>
      <c r="C864" s="2" t="str">
        <f>IFERROR(__xludf.DUMMYFUNCTION("""COMPUTED_VALUE"""),"LAG 26")</f>
        <v>LAG 26</v>
      </c>
      <c r="D864" s="2">
        <f>IFERROR(__xludf.DUMMYFUNCTION("""COMPUTED_VALUE"""),5.0)</f>
        <v>5</v>
      </c>
      <c r="E864" s="2" t="str">
        <f>IFERROR(__xludf.DUMMYFUNCTION("""COMPUTED_VALUE"""),"Damelag")</f>
        <v>Damelag</v>
      </c>
    </row>
    <row r="865" ht="15.75" customHeight="1">
      <c r="A865" s="18">
        <f>IFERROR(__xludf.DUMMYFUNCTION("""COMPUTED_VALUE"""),45857.60813922454)</f>
        <v>45857.60814</v>
      </c>
      <c r="B865" s="2" t="str">
        <f>IFERROR(__xludf.DUMMYFUNCTION("""COMPUTED_VALUE"""),"Post 23")</f>
        <v>Post 23</v>
      </c>
      <c r="C865" s="2" t="str">
        <f>IFERROR(__xludf.DUMMYFUNCTION("""COMPUTED_VALUE"""),"LAG 49")</f>
        <v>LAG 49</v>
      </c>
      <c r="D865" s="2">
        <f>IFERROR(__xludf.DUMMYFUNCTION("""COMPUTED_VALUE"""),18.0)</f>
        <v>18</v>
      </c>
      <c r="E865" s="2" t="str">
        <f>IFERROR(__xludf.DUMMYFUNCTION("""COMPUTED_VALUE"""),"Damelag")</f>
        <v>Damelag</v>
      </c>
    </row>
    <row r="866" ht="15.75" customHeight="1">
      <c r="A866" s="18">
        <f>IFERROR(__xludf.DUMMYFUNCTION("""COMPUTED_VALUE"""),45857.60815730324)</f>
        <v>45857.60816</v>
      </c>
      <c r="B866" s="2" t="str">
        <f>IFERROR(__xludf.DUMMYFUNCTION("""COMPUTED_VALUE"""),"Post 23")</f>
        <v>Post 23</v>
      </c>
      <c r="C866" s="2" t="str">
        <f>IFERROR(__xludf.DUMMYFUNCTION("""COMPUTED_VALUE"""),"LAG 55")</f>
        <v>LAG 55</v>
      </c>
      <c r="D866" s="2">
        <f>IFERROR(__xludf.DUMMYFUNCTION("""COMPUTED_VALUE"""),18.0)</f>
        <v>18</v>
      </c>
      <c r="E866" s="2" t="str">
        <f>IFERROR(__xludf.DUMMYFUNCTION("""COMPUTED_VALUE"""),"Damelag")</f>
        <v>Damelag</v>
      </c>
    </row>
    <row r="867" ht="15.75" customHeight="1">
      <c r="A867" s="18">
        <f>IFERROR(__xludf.DUMMYFUNCTION("""COMPUTED_VALUE"""),45857.608250034726)</f>
        <v>45857.60825</v>
      </c>
      <c r="B867" s="2" t="str">
        <f>IFERROR(__xludf.DUMMYFUNCTION("""COMPUTED_VALUE"""),"Post 11")</f>
        <v>Post 11</v>
      </c>
      <c r="C867" s="2" t="str">
        <f>IFERROR(__xludf.DUMMYFUNCTION("""COMPUTED_VALUE"""),"LAG 34")</f>
        <v>LAG 34</v>
      </c>
      <c r="D867" s="2">
        <f>IFERROR(__xludf.DUMMYFUNCTION("""COMPUTED_VALUE"""),5.0)</f>
        <v>5</v>
      </c>
      <c r="E867" s="2" t="str">
        <f>IFERROR(__xludf.DUMMYFUNCTION("""COMPUTED_VALUE"""),"Damelag")</f>
        <v>Damelag</v>
      </c>
    </row>
    <row r="868" ht="15.75" customHeight="1">
      <c r="A868" s="18">
        <f>IFERROR(__xludf.DUMMYFUNCTION("""COMPUTED_VALUE"""),45857.60825957176)</f>
        <v>45857.60826</v>
      </c>
      <c r="B868" s="2" t="str">
        <f>IFERROR(__xludf.DUMMYFUNCTION("""COMPUTED_VALUE"""),"Post 21")</f>
        <v>Post 21</v>
      </c>
      <c r="C868" s="2" t="str">
        <f>IFERROR(__xludf.DUMMYFUNCTION("""COMPUTED_VALUE"""),"LAG 75")</f>
        <v>LAG 75</v>
      </c>
      <c r="D868" s="2">
        <f>IFERROR(__xludf.DUMMYFUNCTION("""COMPUTED_VALUE"""),5.0)</f>
        <v>5</v>
      </c>
      <c r="E868" s="2" t="str">
        <f>IFERROR(__xludf.DUMMYFUNCTION("""COMPUTED_VALUE"""),"Herrelag")</f>
        <v>Herrelag</v>
      </c>
    </row>
    <row r="869" ht="15.75" customHeight="1">
      <c r="A869" s="18">
        <f>IFERROR(__xludf.DUMMYFUNCTION("""COMPUTED_VALUE"""),45857.60826605324)</f>
        <v>45857.60827</v>
      </c>
      <c r="B869" s="2" t="str">
        <f>IFERROR(__xludf.DUMMYFUNCTION("""COMPUTED_VALUE"""),"Post 21")</f>
        <v>Post 21</v>
      </c>
      <c r="C869" s="2" t="str">
        <f>IFERROR(__xludf.DUMMYFUNCTION("""COMPUTED_VALUE"""),"LAG 49")</f>
        <v>LAG 49</v>
      </c>
      <c r="D869" s="2">
        <f>IFERROR(__xludf.DUMMYFUNCTION("""COMPUTED_VALUE"""),10.0)</f>
        <v>10</v>
      </c>
      <c r="E869" s="2" t="str">
        <f>IFERROR(__xludf.DUMMYFUNCTION("""COMPUTED_VALUE"""),"Damelag")</f>
        <v>Damelag</v>
      </c>
    </row>
    <row r="870" ht="15.75" customHeight="1">
      <c r="A870" s="18">
        <f>IFERROR(__xludf.DUMMYFUNCTION("""COMPUTED_VALUE"""),45857.60841421296)</f>
        <v>45857.60841</v>
      </c>
      <c r="B870" s="2" t="str">
        <f>IFERROR(__xludf.DUMMYFUNCTION("""COMPUTED_VALUE"""),"Post 23")</f>
        <v>Post 23</v>
      </c>
      <c r="C870" s="2" t="str">
        <f>IFERROR(__xludf.DUMMYFUNCTION("""COMPUTED_VALUE"""),"LAG 51")</f>
        <v>LAG 51</v>
      </c>
      <c r="D870" s="2" t="str">
        <f>IFERROR(__xludf.DUMMYFUNCTION("""COMPUTED_VALUE"""),"12.5")</f>
        <v>12.5</v>
      </c>
      <c r="E870" s="2" t="str">
        <f>IFERROR(__xludf.DUMMYFUNCTION("""COMPUTED_VALUE"""),"Mixlag")</f>
        <v>Mixlag</v>
      </c>
    </row>
    <row r="871" ht="15.75" customHeight="1">
      <c r="A871" s="18">
        <f>IFERROR(__xludf.DUMMYFUNCTION("""COMPUTED_VALUE"""),45857.60851106481)</f>
        <v>45857.60851</v>
      </c>
      <c r="B871" s="2" t="str">
        <f>IFERROR(__xludf.DUMMYFUNCTION("""COMPUTED_VALUE"""),"Post 21")</f>
        <v>Post 21</v>
      </c>
      <c r="C871" s="2" t="str">
        <f>IFERROR(__xludf.DUMMYFUNCTION("""COMPUTED_VALUE"""),"LAG 48")</f>
        <v>LAG 48</v>
      </c>
      <c r="D871" s="2">
        <f>IFERROR(__xludf.DUMMYFUNCTION("""COMPUTED_VALUE"""),5.0)</f>
        <v>5</v>
      </c>
      <c r="E871" s="2" t="str">
        <f>IFERROR(__xludf.DUMMYFUNCTION("""COMPUTED_VALUE"""),"Damelag")</f>
        <v>Damelag</v>
      </c>
    </row>
    <row r="872" ht="15.75" customHeight="1">
      <c r="A872" s="18">
        <f>IFERROR(__xludf.DUMMYFUNCTION("""COMPUTED_VALUE"""),45857.60853863426)</f>
        <v>45857.60854</v>
      </c>
      <c r="B872" s="2" t="str">
        <f>IFERROR(__xludf.DUMMYFUNCTION("""COMPUTED_VALUE"""),"Post 23")</f>
        <v>Post 23</v>
      </c>
      <c r="C872" s="2" t="str">
        <f>IFERROR(__xludf.DUMMYFUNCTION("""COMPUTED_VALUE"""),"LAG 54")</f>
        <v>LAG 54</v>
      </c>
      <c r="D872" s="2">
        <f>IFERROR(__xludf.DUMMYFUNCTION("""COMPUTED_VALUE"""),15.0)</f>
        <v>15</v>
      </c>
      <c r="E872" s="2" t="str">
        <f>IFERROR(__xludf.DUMMYFUNCTION("""COMPUTED_VALUE"""),"Damelag")</f>
        <v>Damelag</v>
      </c>
    </row>
    <row r="873" ht="15.75" customHeight="1">
      <c r="A873" s="18">
        <f>IFERROR(__xludf.DUMMYFUNCTION("""COMPUTED_VALUE"""),45857.608654791664)</f>
        <v>45857.60865</v>
      </c>
      <c r="B873" s="2" t="str">
        <f>IFERROR(__xludf.DUMMYFUNCTION("""COMPUTED_VALUE"""),"Post 21")</f>
        <v>Post 21</v>
      </c>
      <c r="C873" s="2" t="str">
        <f>IFERROR(__xludf.DUMMYFUNCTION("""COMPUTED_VALUE"""),"LAG 74")</f>
        <v>LAG 74</v>
      </c>
      <c r="D873" s="2">
        <f>IFERROR(__xludf.DUMMYFUNCTION("""COMPUTED_VALUE"""),1.0)</f>
        <v>1</v>
      </c>
      <c r="E873" s="2" t="str">
        <f>IFERROR(__xludf.DUMMYFUNCTION("""COMPUTED_VALUE"""),"Damelag")</f>
        <v>Damelag</v>
      </c>
    </row>
    <row r="874" ht="15.75" customHeight="1">
      <c r="A874" s="18">
        <f>IFERROR(__xludf.DUMMYFUNCTION("""COMPUTED_VALUE"""),45857.60874539352)</f>
        <v>45857.60875</v>
      </c>
      <c r="B874" s="2" t="str">
        <f>IFERROR(__xludf.DUMMYFUNCTION("""COMPUTED_VALUE"""),"Post 23")</f>
        <v>Post 23</v>
      </c>
      <c r="C874" s="2" t="str">
        <f>IFERROR(__xludf.DUMMYFUNCTION("""COMPUTED_VALUE"""),"LAG 53")</f>
        <v>LAG 53</v>
      </c>
      <c r="D874" s="2">
        <f>IFERROR(__xludf.DUMMYFUNCTION("""COMPUTED_VALUE"""),18.0)</f>
        <v>18</v>
      </c>
      <c r="E874" s="2" t="str">
        <f>IFERROR(__xludf.DUMMYFUNCTION("""COMPUTED_VALUE"""),"Damelag")</f>
        <v>Damelag</v>
      </c>
    </row>
    <row r="875" ht="15.75" customHeight="1">
      <c r="A875" s="18">
        <f>IFERROR(__xludf.DUMMYFUNCTION("""COMPUTED_VALUE"""),45857.60892520833)</f>
        <v>45857.60893</v>
      </c>
      <c r="B875" s="2" t="str">
        <f>IFERROR(__xludf.DUMMYFUNCTION("""COMPUTED_VALUE"""),"Post 11")</f>
        <v>Post 11</v>
      </c>
      <c r="C875" s="2" t="str">
        <f>IFERROR(__xludf.DUMMYFUNCTION("""COMPUTED_VALUE"""),"LAG 36")</f>
        <v>LAG 36</v>
      </c>
      <c r="D875" s="2">
        <f>IFERROR(__xludf.DUMMYFUNCTION("""COMPUTED_VALUE"""),5.0)</f>
        <v>5</v>
      </c>
      <c r="E875" s="2" t="str">
        <f>IFERROR(__xludf.DUMMYFUNCTION("""COMPUTED_VALUE"""),"Herrelag")</f>
        <v>Herrelag</v>
      </c>
    </row>
    <row r="876" ht="15.75" customHeight="1">
      <c r="A876" s="18">
        <f>IFERROR(__xludf.DUMMYFUNCTION("""COMPUTED_VALUE"""),45857.609164803245)</f>
        <v>45857.60916</v>
      </c>
      <c r="B876" s="2" t="str">
        <f>IFERROR(__xludf.DUMMYFUNCTION("""COMPUTED_VALUE"""),"Post 11")</f>
        <v>Post 11</v>
      </c>
      <c r="C876" s="2" t="str">
        <f>IFERROR(__xludf.DUMMYFUNCTION("""COMPUTED_VALUE"""),"LAG 37")</f>
        <v>LAG 37</v>
      </c>
      <c r="D876" s="2">
        <f>IFERROR(__xludf.DUMMYFUNCTION("""COMPUTED_VALUE"""),20.0)</f>
        <v>20</v>
      </c>
      <c r="E876" s="2" t="str">
        <f>IFERROR(__xludf.DUMMYFUNCTION("""COMPUTED_VALUE"""),"Herrelag")</f>
        <v>Herrelag</v>
      </c>
    </row>
    <row r="877" ht="15.75" customHeight="1">
      <c r="A877" s="18">
        <f>IFERROR(__xludf.DUMMYFUNCTION("""COMPUTED_VALUE"""),45857.60932270833)</f>
        <v>45857.60932</v>
      </c>
      <c r="B877" s="2" t="str">
        <f>IFERROR(__xludf.DUMMYFUNCTION("""COMPUTED_VALUE"""),"Post 21")</f>
        <v>Post 21</v>
      </c>
      <c r="C877" s="2" t="str">
        <f>IFERROR(__xludf.DUMMYFUNCTION("""COMPUTED_VALUE"""),"LAG 72")</f>
        <v>LAG 72</v>
      </c>
      <c r="D877" s="2">
        <f>IFERROR(__xludf.DUMMYFUNCTION("""COMPUTED_VALUE"""),10.0)</f>
        <v>10</v>
      </c>
      <c r="E877" s="2" t="str">
        <f>IFERROR(__xludf.DUMMYFUNCTION("""COMPUTED_VALUE"""),"Herrelag")</f>
        <v>Herrelag</v>
      </c>
    </row>
    <row r="878" ht="15.75" customHeight="1">
      <c r="A878" s="18">
        <f>IFERROR(__xludf.DUMMYFUNCTION("""COMPUTED_VALUE"""),45857.6093631713)</f>
        <v>45857.60936</v>
      </c>
      <c r="B878" s="2" t="str">
        <f>IFERROR(__xludf.DUMMYFUNCTION("""COMPUTED_VALUE"""),"Post 11")</f>
        <v>Post 11</v>
      </c>
      <c r="C878" s="2" t="str">
        <f>IFERROR(__xludf.DUMMYFUNCTION("""COMPUTED_VALUE"""),"LAG 39")</f>
        <v>LAG 39</v>
      </c>
      <c r="D878" s="2">
        <f>IFERROR(__xludf.DUMMYFUNCTION("""COMPUTED_VALUE"""),20.0)</f>
        <v>20</v>
      </c>
      <c r="E878" s="2" t="str">
        <f>IFERROR(__xludf.DUMMYFUNCTION("""COMPUTED_VALUE"""),"Herrelag")</f>
        <v>Herrelag</v>
      </c>
    </row>
    <row r="879" ht="15.75" customHeight="1">
      <c r="A879" s="18">
        <f>IFERROR(__xludf.DUMMYFUNCTION("""COMPUTED_VALUE"""),45857.60952048611)</f>
        <v>45857.60952</v>
      </c>
      <c r="B879" s="2" t="str">
        <f>IFERROR(__xludf.DUMMYFUNCTION("""COMPUTED_VALUE"""),"Post 21")</f>
        <v>Post 21</v>
      </c>
      <c r="C879" s="2" t="str">
        <f>IFERROR(__xludf.DUMMYFUNCTION("""COMPUTED_VALUE"""),"LAG 51")</f>
        <v>LAG 51</v>
      </c>
      <c r="D879" s="2">
        <f>IFERROR(__xludf.DUMMYFUNCTION("""COMPUTED_VALUE"""),10.0)</f>
        <v>10</v>
      </c>
      <c r="E879" s="2" t="str">
        <f>IFERROR(__xludf.DUMMYFUNCTION("""COMPUTED_VALUE"""),"Herrelag")</f>
        <v>Herrelag</v>
      </c>
    </row>
    <row r="880" ht="15.75" customHeight="1">
      <c r="A880" s="18">
        <f>IFERROR(__xludf.DUMMYFUNCTION("""COMPUTED_VALUE"""),45857.60954553241)</f>
        <v>45857.60955</v>
      </c>
      <c r="B880" s="2" t="str">
        <f>IFERROR(__xludf.DUMMYFUNCTION("""COMPUTED_VALUE"""),"Post 11")</f>
        <v>Post 11</v>
      </c>
      <c r="C880" s="2" t="str">
        <f>IFERROR(__xludf.DUMMYFUNCTION("""COMPUTED_VALUE"""),"LAG 44")</f>
        <v>LAG 44</v>
      </c>
      <c r="D880" s="2">
        <f>IFERROR(__xludf.DUMMYFUNCTION("""COMPUTED_VALUE"""),5.0)</f>
        <v>5</v>
      </c>
      <c r="E880" s="2" t="str">
        <f>IFERROR(__xludf.DUMMYFUNCTION("""COMPUTED_VALUE"""),"Damelag")</f>
        <v>Damelag</v>
      </c>
    </row>
    <row r="881" ht="15.75" customHeight="1">
      <c r="A881" s="18">
        <f>IFERROR(__xludf.DUMMYFUNCTION("""COMPUTED_VALUE"""),45857.60963332176)</f>
        <v>45857.60963</v>
      </c>
      <c r="B881" s="2" t="str">
        <f>IFERROR(__xludf.DUMMYFUNCTION("""COMPUTED_VALUE"""),"Post 21")</f>
        <v>Post 21</v>
      </c>
      <c r="C881" s="2" t="str">
        <f>IFERROR(__xludf.DUMMYFUNCTION("""COMPUTED_VALUE"""),"LAG 71")</f>
        <v>LAG 71</v>
      </c>
      <c r="D881" s="2">
        <f>IFERROR(__xludf.DUMMYFUNCTION("""COMPUTED_VALUE"""),1.0)</f>
        <v>1</v>
      </c>
      <c r="E881" s="2" t="str">
        <f>IFERROR(__xludf.DUMMYFUNCTION("""COMPUTED_VALUE"""),"Mixlag")</f>
        <v>Mixlag</v>
      </c>
    </row>
    <row r="882" ht="15.75" customHeight="1">
      <c r="A882" s="18">
        <f>IFERROR(__xludf.DUMMYFUNCTION("""COMPUTED_VALUE"""),45857.60970768519)</f>
        <v>45857.60971</v>
      </c>
      <c r="B882" s="2" t="str">
        <f>IFERROR(__xludf.DUMMYFUNCTION("""COMPUTED_VALUE"""),"Post 11")</f>
        <v>Post 11</v>
      </c>
      <c r="C882" s="2" t="str">
        <f>IFERROR(__xludf.DUMMYFUNCTION("""COMPUTED_VALUE"""),"LAG 48")</f>
        <v>LAG 48</v>
      </c>
      <c r="D882" s="2">
        <f>IFERROR(__xludf.DUMMYFUNCTION("""COMPUTED_VALUE"""),5.0)</f>
        <v>5</v>
      </c>
      <c r="E882" s="2" t="str">
        <f>IFERROR(__xludf.DUMMYFUNCTION("""COMPUTED_VALUE"""),"Damelag")</f>
        <v>Damelag</v>
      </c>
    </row>
    <row r="883" ht="15.75" customHeight="1">
      <c r="A883" s="18">
        <f>IFERROR(__xludf.DUMMYFUNCTION("""COMPUTED_VALUE"""),45857.60975344907)</f>
        <v>45857.60975</v>
      </c>
      <c r="B883" s="2" t="str">
        <f>IFERROR(__xludf.DUMMYFUNCTION("""COMPUTED_VALUE"""),"Post 21")</f>
        <v>Post 21</v>
      </c>
      <c r="C883" s="2" t="str">
        <f>IFERROR(__xludf.DUMMYFUNCTION("""COMPUTED_VALUE"""),"LAG 53")</f>
        <v>LAG 53</v>
      </c>
      <c r="D883" s="2">
        <f>IFERROR(__xludf.DUMMYFUNCTION("""COMPUTED_VALUE"""),15.0)</f>
        <v>15</v>
      </c>
      <c r="E883" s="2" t="str">
        <f>IFERROR(__xludf.DUMMYFUNCTION("""COMPUTED_VALUE"""),"Damelag")</f>
        <v>Damelag</v>
      </c>
    </row>
    <row r="884" ht="15.75" customHeight="1">
      <c r="A884" s="18">
        <f>IFERROR(__xludf.DUMMYFUNCTION("""COMPUTED_VALUE"""),45857.61002763889)</f>
        <v>45857.61003</v>
      </c>
      <c r="B884" s="2" t="str">
        <f>IFERROR(__xludf.DUMMYFUNCTION("""COMPUTED_VALUE"""),"Post 21")</f>
        <v>Post 21</v>
      </c>
      <c r="C884" s="2" t="str">
        <f>IFERROR(__xludf.DUMMYFUNCTION("""COMPUTED_VALUE"""),"LAG 68")</f>
        <v>LAG 68</v>
      </c>
      <c r="D884" s="2">
        <f>IFERROR(__xludf.DUMMYFUNCTION("""COMPUTED_VALUE"""),20.0)</f>
        <v>20</v>
      </c>
      <c r="E884" s="2" t="str">
        <f>IFERROR(__xludf.DUMMYFUNCTION("""COMPUTED_VALUE"""),"Herrelag")</f>
        <v>Herrelag</v>
      </c>
    </row>
    <row r="885" ht="15.75" customHeight="1">
      <c r="A885" s="18">
        <f>IFERROR(__xludf.DUMMYFUNCTION("""COMPUTED_VALUE"""),45857.6101833912)</f>
        <v>45857.61018</v>
      </c>
      <c r="B885" s="2" t="str">
        <f>IFERROR(__xludf.DUMMYFUNCTION("""COMPUTED_VALUE"""),"Post 21")</f>
        <v>Post 21</v>
      </c>
      <c r="C885" s="2" t="str">
        <f>IFERROR(__xludf.DUMMYFUNCTION("""COMPUTED_VALUE"""),"LAG 54")</f>
        <v>LAG 54</v>
      </c>
      <c r="D885" s="2">
        <f>IFERROR(__xludf.DUMMYFUNCTION("""COMPUTED_VALUE"""),15.0)</f>
        <v>15</v>
      </c>
      <c r="E885" s="2" t="str">
        <f>IFERROR(__xludf.DUMMYFUNCTION("""COMPUTED_VALUE"""),"Damelag")</f>
        <v>Damelag</v>
      </c>
    </row>
    <row r="886" ht="15.75" customHeight="1">
      <c r="A886" s="18">
        <f>IFERROR(__xludf.DUMMYFUNCTION("""COMPUTED_VALUE"""),45857.610214201384)</f>
        <v>45857.61021</v>
      </c>
      <c r="B886" s="2" t="str">
        <f>IFERROR(__xludf.DUMMYFUNCTION("""COMPUTED_VALUE"""),"Post 11")</f>
        <v>Post 11</v>
      </c>
      <c r="C886" s="2" t="str">
        <f>IFERROR(__xludf.DUMMYFUNCTION("""COMPUTED_VALUE"""),"LAG 49")</f>
        <v>LAG 49</v>
      </c>
      <c r="D886" s="2">
        <f>IFERROR(__xludf.DUMMYFUNCTION("""COMPUTED_VALUE"""),5.0)</f>
        <v>5</v>
      </c>
      <c r="E886" s="2" t="str">
        <f>IFERROR(__xludf.DUMMYFUNCTION("""COMPUTED_VALUE"""),"Damelag")</f>
        <v>Damelag</v>
      </c>
    </row>
    <row r="887" ht="15.75" customHeight="1">
      <c r="A887" s="18">
        <f>IFERROR(__xludf.DUMMYFUNCTION("""COMPUTED_VALUE"""),45857.610306400464)</f>
        <v>45857.61031</v>
      </c>
      <c r="B887" s="2" t="str">
        <f>IFERROR(__xludf.DUMMYFUNCTION("""COMPUTED_VALUE"""),"Post 21")</f>
        <v>Post 21</v>
      </c>
      <c r="C887" s="2" t="str">
        <f>IFERROR(__xludf.DUMMYFUNCTION("""COMPUTED_VALUE"""),"LAG 67")</f>
        <v>LAG 67</v>
      </c>
      <c r="D887" s="2">
        <f>IFERROR(__xludf.DUMMYFUNCTION("""COMPUTED_VALUE"""),15.0)</f>
        <v>15</v>
      </c>
      <c r="E887" s="2" t="str">
        <f>IFERROR(__xludf.DUMMYFUNCTION("""COMPUTED_VALUE"""),"Damelag")</f>
        <v>Damelag</v>
      </c>
    </row>
    <row r="888" ht="15.75" customHeight="1">
      <c r="A888" s="18">
        <f>IFERROR(__xludf.DUMMYFUNCTION("""COMPUTED_VALUE"""),45857.61043045139)</f>
        <v>45857.61043</v>
      </c>
      <c r="B888" s="2" t="str">
        <f>IFERROR(__xludf.DUMMYFUNCTION("""COMPUTED_VALUE"""),"Post 11")</f>
        <v>Post 11</v>
      </c>
      <c r="C888" s="2" t="str">
        <f>IFERROR(__xludf.DUMMYFUNCTION("""COMPUTED_VALUE"""),"LAG 53")</f>
        <v>LAG 53</v>
      </c>
      <c r="D888" s="2">
        <f>IFERROR(__xludf.DUMMYFUNCTION("""COMPUTED_VALUE"""),5.0)</f>
        <v>5</v>
      </c>
      <c r="E888" s="2" t="str">
        <f>IFERROR(__xludf.DUMMYFUNCTION("""COMPUTED_VALUE"""),"Damelag")</f>
        <v>Damelag</v>
      </c>
    </row>
    <row r="889" ht="15.75" customHeight="1">
      <c r="A889" s="18">
        <f>IFERROR(__xludf.DUMMYFUNCTION("""COMPUTED_VALUE"""),45857.610531701386)</f>
        <v>45857.61053</v>
      </c>
      <c r="B889" s="2" t="str">
        <f>IFERROR(__xludf.DUMMYFUNCTION("""COMPUTED_VALUE"""),"Post 21")</f>
        <v>Post 21</v>
      </c>
      <c r="C889" s="2" t="str">
        <f>IFERROR(__xludf.DUMMYFUNCTION("""COMPUTED_VALUE"""),"LAG 55")</f>
        <v>LAG 55</v>
      </c>
      <c r="D889" s="2">
        <f>IFERROR(__xludf.DUMMYFUNCTION("""COMPUTED_VALUE"""),15.0)</f>
        <v>15</v>
      </c>
      <c r="E889" s="2" t="str">
        <f>IFERROR(__xludf.DUMMYFUNCTION("""COMPUTED_VALUE"""),"Damelag")</f>
        <v>Damelag</v>
      </c>
    </row>
    <row r="890" ht="15.75" customHeight="1">
      <c r="A890" s="18">
        <f>IFERROR(__xludf.DUMMYFUNCTION("""COMPUTED_VALUE"""),45857.61056302083)</f>
        <v>45857.61056</v>
      </c>
      <c r="B890" s="2" t="str">
        <f>IFERROR(__xludf.DUMMYFUNCTION("""COMPUTED_VALUE"""),"Post 21")</f>
        <v>Post 21</v>
      </c>
      <c r="C890" s="2" t="str">
        <f>IFERROR(__xludf.DUMMYFUNCTION("""COMPUTED_VALUE"""),"LAG 66")</f>
        <v>LAG 66</v>
      </c>
      <c r="D890" s="2">
        <f>IFERROR(__xludf.DUMMYFUNCTION("""COMPUTED_VALUE"""),1.0)</f>
        <v>1</v>
      </c>
      <c r="E890" s="2" t="str">
        <f>IFERROR(__xludf.DUMMYFUNCTION("""COMPUTED_VALUE"""),"Damelag")</f>
        <v>Damelag</v>
      </c>
    </row>
    <row r="891" ht="15.75" customHeight="1">
      <c r="A891" s="18">
        <f>IFERROR(__xludf.DUMMYFUNCTION("""COMPUTED_VALUE"""),45857.61056799769)</f>
        <v>45857.61057</v>
      </c>
      <c r="B891" s="2" t="str">
        <f>IFERROR(__xludf.DUMMYFUNCTION("""COMPUTED_VALUE"""),"Post 11")</f>
        <v>Post 11</v>
      </c>
      <c r="C891" s="2" t="str">
        <f>IFERROR(__xludf.DUMMYFUNCTION("""COMPUTED_VALUE"""),"LAG 61")</f>
        <v>LAG 61</v>
      </c>
      <c r="D891" s="2">
        <f>IFERROR(__xludf.DUMMYFUNCTION("""COMPUTED_VALUE"""),20.0)</f>
        <v>20</v>
      </c>
      <c r="E891" s="2" t="str">
        <f>IFERROR(__xludf.DUMMYFUNCTION("""COMPUTED_VALUE"""),"Herrelag")</f>
        <v>Herrelag</v>
      </c>
    </row>
    <row r="892" ht="15.75" customHeight="1">
      <c r="A892" s="18">
        <f>IFERROR(__xludf.DUMMYFUNCTION("""COMPUTED_VALUE"""),45857.61076773149)</f>
        <v>45857.61077</v>
      </c>
      <c r="B892" s="2" t="str">
        <f>IFERROR(__xludf.DUMMYFUNCTION("""COMPUTED_VALUE"""),"Post 11")</f>
        <v>Post 11</v>
      </c>
      <c r="C892" s="2" t="str">
        <f>IFERROR(__xludf.DUMMYFUNCTION("""COMPUTED_VALUE"""),"LAG 67")</f>
        <v>LAG 67</v>
      </c>
      <c r="D892" s="2">
        <f>IFERROR(__xludf.DUMMYFUNCTION("""COMPUTED_VALUE"""),15.0)</f>
        <v>15</v>
      </c>
      <c r="E892" s="2" t="str">
        <f>IFERROR(__xludf.DUMMYFUNCTION("""COMPUTED_VALUE"""),"Damelag")</f>
        <v>Damelag</v>
      </c>
    </row>
    <row r="893" ht="15.75" customHeight="1">
      <c r="A893" s="18">
        <f>IFERROR(__xludf.DUMMYFUNCTION("""COMPUTED_VALUE"""),45857.61097956018)</f>
        <v>45857.61098</v>
      </c>
      <c r="B893" s="2" t="str">
        <f>IFERROR(__xludf.DUMMYFUNCTION("""COMPUTED_VALUE"""),"Post 11")</f>
        <v>Post 11</v>
      </c>
      <c r="C893" s="2" t="str">
        <f>IFERROR(__xludf.DUMMYFUNCTION("""COMPUTED_VALUE"""),"LAG 68")</f>
        <v>LAG 68</v>
      </c>
      <c r="D893" s="2">
        <f>IFERROR(__xludf.DUMMYFUNCTION("""COMPUTED_VALUE"""),5.0)</f>
        <v>5</v>
      </c>
      <c r="E893" s="2" t="str">
        <f>IFERROR(__xludf.DUMMYFUNCTION("""COMPUTED_VALUE"""),"Herrelag")</f>
        <v>Herrelag</v>
      </c>
    </row>
    <row r="894" ht="15.75" customHeight="1">
      <c r="A894" s="18">
        <f>IFERROR(__xludf.DUMMYFUNCTION("""COMPUTED_VALUE"""),45857.61100633102)</f>
        <v>45857.61101</v>
      </c>
      <c r="B894" s="2" t="str">
        <f>IFERROR(__xludf.DUMMYFUNCTION("""COMPUTED_VALUE"""),"Post 21")</f>
        <v>Post 21</v>
      </c>
      <c r="C894" s="2" t="str">
        <f>IFERROR(__xludf.DUMMYFUNCTION("""COMPUTED_VALUE"""),"LAG 59")</f>
        <v>LAG 59</v>
      </c>
      <c r="D894" s="2">
        <f>IFERROR(__xludf.DUMMYFUNCTION("""COMPUTED_VALUE"""),15.0)</f>
        <v>15</v>
      </c>
      <c r="E894" s="2" t="str">
        <f>IFERROR(__xludf.DUMMYFUNCTION("""COMPUTED_VALUE"""),"Damelag")</f>
        <v>Damelag</v>
      </c>
    </row>
    <row r="895" ht="15.75" customHeight="1">
      <c r="A895" s="18">
        <f>IFERROR(__xludf.DUMMYFUNCTION("""COMPUTED_VALUE"""),45857.61111815972)</f>
        <v>45857.61112</v>
      </c>
      <c r="B895" s="2" t="str">
        <f>IFERROR(__xludf.DUMMYFUNCTION("""COMPUTED_VALUE"""),"Post 21")</f>
        <v>Post 21</v>
      </c>
      <c r="C895" s="2" t="str">
        <f>IFERROR(__xludf.DUMMYFUNCTION("""COMPUTED_VALUE"""),"LAG 63")</f>
        <v>LAG 63</v>
      </c>
      <c r="D895" s="2">
        <f>IFERROR(__xludf.DUMMYFUNCTION("""COMPUTED_VALUE"""),15.0)</f>
        <v>15</v>
      </c>
      <c r="E895" s="2" t="str">
        <f>IFERROR(__xludf.DUMMYFUNCTION("""COMPUTED_VALUE"""),"Mixlag")</f>
        <v>Mixlag</v>
      </c>
    </row>
    <row r="896" ht="15.75" customHeight="1">
      <c r="A896" s="18">
        <f>IFERROR(__xludf.DUMMYFUNCTION("""COMPUTED_VALUE"""),45857.611189641204)</f>
        <v>45857.61119</v>
      </c>
      <c r="B896" s="2" t="str">
        <f>IFERROR(__xludf.DUMMYFUNCTION("""COMPUTED_VALUE"""),"Post 11")</f>
        <v>Post 11</v>
      </c>
      <c r="C896" s="2" t="str">
        <f>IFERROR(__xludf.DUMMYFUNCTION("""COMPUTED_VALUE"""),"LAG 72")</f>
        <v>LAG 72</v>
      </c>
      <c r="D896" s="2">
        <f>IFERROR(__xludf.DUMMYFUNCTION("""COMPUTED_VALUE"""),15.0)</f>
        <v>15</v>
      </c>
      <c r="E896" s="2" t="str">
        <f>IFERROR(__xludf.DUMMYFUNCTION("""COMPUTED_VALUE"""),"Herrelag")</f>
        <v>Herrelag</v>
      </c>
    </row>
    <row r="897" ht="15.75" customHeight="1">
      <c r="A897" s="18">
        <f>IFERROR(__xludf.DUMMYFUNCTION("""COMPUTED_VALUE"""),45857.611416423606)</f>
        <v>45857.61142</v>
      </c>
      <c r="B897" s="2" t="str">
        <f>IFERROR(__xludf.DUMMYFUNCTION("""COMPUTED_VALUE"""),"Post 21")</f>
        <v>Post 21</v>
      </c>
      <c r="C897" s="2" t="str">
        <f>IFERROR(__xludf.DUMMYFUNCTION("""COMPUTED_VALUE"""),"LAG 60")</f>
        <v>LAG 60</v>
      </c>
      <c r="D897" s="2">
        <f>IFERROR(__xludf.DUMMYFUNCTION("""COMPUTED_VALUE"""),5.0)</f>
        <v>5</v>
      </c>
      <c r="E897" s="2" t="str">
        <f>IFERROR(__xludf.DUMMYFUNCTION("""COMPUTED_VALUE"""),"Herrelag")</f>
        <v>Herrelag</v>
      </c>
    </row>
    <row r="898" ht="15.75" customHeight="1">
      <c r="A898" s="18">
        <f>IFERROR(__xludf.DUMMYFUNCTION("""COMPUTED_VALUE"""),45857.61146511574)</f>
        <v>45857.61147</v>
      </c>
      <c r="B898" s="2" t="str">
        <f>IFERROR(__xludf.DUMMYFUNCTION("""COMPUTED_VALUE"""),"Post 11")</f>
        <v>Post 11</v>
      </c>
      <c r="C898" s="2" t="str">
        <f>IFERROR(__xludf.DUMMYFUNCTION("""COMPUTED_VALUE"""),"LAG 73")</f>
        <v>LAG 73</v>
      </c>
      <c r="D898" s="2">
        <f>IFERROR(__xludf.DUMMYFUNCTION("""COMPUTED_VALUE"""),5.0)</f>
        <v>5</v>
      </c>
      <c r="E898" s="2" t="str">
        <f>IFERROR(__xludf.DUMMYFUNCTION("""COMPUTED_VALUE"""),"Mixlag")</f>
        <v>Mixlag</v>
      </c>
    </row>
    <row r="899" ht="15.75" customHeight="1">
      <c r="A899" s="18">
        <f>IFERROR(__xludf.DUMMYFUNCTION("""COMPUTED_VALUE"""),45857.611512986114)</f>
        <v>45857.61151</v>
      </c>
      <c r="B899" s="2" t="str">
        <f>IFERROR(__xludf.DUMMYFUNCTION("""COMPUTED_VALUE"""),"Post 21")</f>
        <v>Post 21</v>
      </c>
      <c r="C899" s="2" t="str">
        <f>IFERROR(__xludf.DUMMYFUNCTION("""COMPUTED_VALUE"""),"LAG 61")</f>
        <v>LAG 61</v>
      </c>
      <c r="D899" s="2">
        <f>IFERROR(__xludf.DUMMYFUNCTION("""COMPUTED_VALUE"""),15.0)</f>
        <v>15</v>
      </c>
      <c r="E899" s="2" t="str">
        <f>IFERROR(__xludf.DUMMYFUNCTION("""COMPUTED_VALUE"""),"Herrelag")</f>
        <v>Herrelag</v>
      </c>
    </row>
    <row r="900" ht="15.75" customHeight="1">
      <c r="A900" s="18">
        <f>IFERROR(__xludf.DUMMYFUNCTION("""COMPUTED_VALUE"""),45857.61164207176)</f>
        <v>45857.61164</v>
      </c>
      <c r="B900" s="2" t="str">
        <f>IFERROR(__xludf.DUMMYFUNCTION("""COMPUTED_VALUE"""),"Post 11")</f>
        <v>Post 11</v>
      </c>
      <c r="C900" s="2" t="str">
        <f>IFERROR(__xludf.DUMMYFUNCTION("""COMPUTED_VALUE"""),"LAG 76")</f>
        <v>LAG 76</v>
      </c>
      <c r="D900" s="2">
        <f>IFERROR(__xludf.DUMMYFUNCTION("""COMPUTED_VALUE"""),15.0)</f>
        <v>15</v>
      </c>
      <c r="E900" s="2" t="str">
        <f>IFERROR(__xludf.DUMMYFUNCTION("""COMPUTED_VALUE"""),"Mixlag")</f>
        <v>Mixlag</v>
      </c>
    </row>
    <row r="901" ht="15.75" customHeight="1">
      <c r="A901" s="18">
        <f>IFERROR(__xludf.DUMMYFUNCTION("""COMPUTED_VALUE"""),45857.61182600695)</f>
        <v>45857.61183</v>
      </c>
      <c r="B901" s="2" t="str">
        <f>IFERROR(__xludf.DUMMYFUNCTION("""COMPUTED_VALUE"""),"Post 11")</f>
        <v>Post 11</v>
      </c>
      <c r="C901" s="2" t="str">
        <f>IFERROR(__xludf.DUMMYFUNCTION("""COMPUTED_VALUE"""),"LAG 77")</f>
        <v>LAG 77</v>
      </c>
      <c r="D901" s="2">
        <f>IFERROR(__xludf.DUMMYFUNCTION("""COMPUTED_VALUE"""),5.0)</f>
        <v>5</v>
      </c>
      <c r="E901" s="2" t="str">
        <f>IFERROR(__xludf.DUMMYFUNCTION("""COMPUTED_VALUE"""),"Mixlag")</f>
        <v>Mixlag</v>
      </c>
    </row>
    <row r="902" ht="15.75" customHeight="1">
      <c r="A902" s="18">
        <f>IFERROR(__xludf.DUMMYFUNCTION("""COMPUTED_VALUE"""),45857.61202987269)</f>
        <v>45857.61203</v>
      </c>
      <c r="B902" s="2" t="str">
        <f>IFERROR(__xludf.DUMMYFUNCTION("""COMPUTED_VALUE"""),"Post 11")</f>
        <v>Post 11</v>
      </c>
      <c r="C902" s="2" t="str">
        <f>IFERROR(__xludf.DUMMYFUNCTION("""COMPUTED_VALUE"""),"LAG 78")</f>
        <v>LAG 78</v>
      </c>
      <c r="D902" s="2">
        <f>IFERROR(__xludf.DUMMYFUNCTION("""COMPUTED_VALUE"""),20.0)</f>
        <v>20</v>
      </c>
      <c r="E902" s="2" t="str">
        <f>IFERROR(__xludf.DUMMYFUNCTION("""COMPUTED_VALUE"""),"Damelag")</f>
        <v>Damelag</v>
      </c>
    </row>
    <row r="903" ht="15.75" customHeight="1">
      <c r="A903" s="18">
        <f>IFERROR(__xludf.DUMMYFUNCTION("""COMPUTED_VALUE"""),45857.612203020835)</f>
        <v>45857.6122</v>
      </c>
      <c r="B903" s="2" t="str">
        <f>IFERROR(__xludf.DUMMYFUNCTION("""COMPUTED_VALUE"""),"Post 11")</f>
        <v>Post 11</v>
      </c>
      <c r="C903" s="2" t="str">
        <f>IFERROR(__xludf.DUMMYFUNCTION("""COMPUTED_VALUE"""),"LAG 79")</f>
        <v>LAG 79</v>
      </c>
      <c r="D903" s="2">
        <f>IFERROR(__xludf.DUMMYFUNCTION("""COMPUTED_VALUE"""),5.0)</f>
        <v>5</v>
      </c>
      <c r="E903" s="2" t="str">
        <f>IFERROR(__xludf.DUMMYFUNCTION("""COMPUTED_VALUE"""),"Herrelag")</f>
        <v>Herrelag</v>
      </c>
    </row>
    <row r="904" ht="15.75" customHeight="1">
      <c r="A904" s="18">
        <f>IFERROR(__xludf.DUMMYFUNCTION("""COMPUTED_VALUE"""),45857.61257940972)</f>
        <v>45857.61258</v>
      </c>
      <c r="B904" s="2" t="str">
        <f>IFERROR(__xludf.DUMMYFUNCTION("""COMPUTED_VALUE"""),"Post 11")</f>
        <v>Post 11</v>
      </c>
      <c r="C904" s="2" t="str">
        <f>IFERROR(__xludf.DUMMYFUNCTION("""COMPUTED_VALUE"""),"LAG 80")</f>
        <v>LAG 80</v>
      </c>
      <c r="D904" s="2">
        <f>IFERROR(__xludf.DUMMYFUNCTION("""COMPUTED_VALUE"""),5.0)</f>
        <v>5</v>
      </c>
      <c r="E904" s="2" t="str">
        <f>IFERROR(__xludf.DUMMYFUNCTION("""COMPUTED_VALUE"""),"Herrelag")</f>
        <v>Herrelag</v>
      </c>
    </row>
    <row r="905" ht="15.75" customHeight="1">
      <c r="A905" s="18">
        <f>IFERROR(__xludf.DUMMYFUNCTION("""COMPUTED_VALUE"""),45857.61274020834)</f>
        <v>45857.61274</v>
      </c>
      <c r="B905" s="2" t="str">
        <f>IFERROR(__xludf.DUMMYFUNCTION("""COMPUTED_VALUE"""),"Post 11")</f>
        <v>Post 11</v>
      </c>
      <c r="C905" s="2" t="str">
        <f>IFERROR(__xludf.DUMMYFUNCTION("""COMPUTED_VALUE"""),"LAG 84")</f>
        <v>LAG 84</v>
      </c>
      <c r="D905" s="2">
        <f>IFERROR(__xludf.DUMMYFUNCTION("""COMPUTED_VALUE"""),15.0)</f>
        <v>15</v>
      </c>
      <c r="E905" s="2" t="str">
        <f>IFERROR(__xludf.DUMMYFUNCTION("""COMPUTED_VALUE"""),"Herrelag")</f>
        <v>Herrelag</v>
      </c>
    </row>
    <row r="906" ht="15.75" customHeight="1">
      <c r="A906" s="2">
        <f>IFERROR(__xludf.DUMMYFUNCTION("""COMPUTED_VALUE"""),45857.64593840278)</f>
        <v>45857.64594</v>
      </c>
      <c r="B906" s="2" t="str">
        <f>IFERROR(__xludf.DUMMYFUNCTION("""COMPUTED_VALUE"""),"Post 17")</f>
        <v>Post 17</v>
      </c>
      <c r="C906" s="2" t="str">
        <f>IFERROR(__xludf.DUMMYFUNCTION("""COMPUTED_VALUE"""),"LAG 68")</f>
        <v>LAG 68</v>
      </c>
      <c r="D906" s="2">
        <f>IFERROR(__xludf.DUMMYFUNCTION("""COMPUTED_VALUE"""),17.0)</f>
        <v>17</v>
      </c>
      <c r="E906" s="2" t="str">
        <f>IFERROR(__xludf.DUMMYFUNCTION("""COMPUTED_VALUE"""),"Herrelag")</f>
        <v>Herrelag</v>
      </c>
    </row>
    <row r="907" ht="15.75" customHeight="1">
      <c r="A907" s="2">
        <f>IFERROR(__xludf.DUMMYFUNCTION("""COMPUTED_VALUE"""),45857.64621575232)</f>
        <v>45857.64622</v>
      </c>
      <c r="B907" s="2" t="str">
        <f>IFERROR(__xludf.DUMMYFUNCTION("""COMPUTED_VALUE"""),"Post 17")</f>
        <v>Post 17</v>
      </c>
      <c r="C907" s="2" t="str">
        <f>IFERROR(__xludf.DUMMYFUNCTION("""COMPUTED_VALUE"""),"LAG 80")</f>
        <v>LAG 80</v>
      </c>
      <c r="D907" s="2">
        <f>IFERROR(__xludf.DUMMYFUNCTION("""COMPUTED_VALUE"""),12.0)</f>
        <v>12</v>
      </c>
      <c r="E907" s="2" t="str">
        <f>IFERROR(__xludf.DUMMYFUNCTION("""COMPUTED_VALUE"""),"Herrelag")</f>
        <v>Herrelag</v>
      </c>
    </row>
    <row r="908" ht="15.75" customHeight="1">
      <c r="A908" s="2">
        <f>IFERROR(__xludf.DUMMYFUNCTION("""COMPUTED_VALUE"""),45857.646801828705)</f>
        <v>45857.6468</v>
      </c>
      <c r="B908" s="2" t="str">
        <f>IFERROR(__xludf.DUMMYFUNCTION("""COMPUTED_VALUE"""),"Post 17")</f>
        <v>Post 17</v>
      </c>
      <c r="C908" s="2" t="str">
        <f>IFERROR(__xludf.DUMMYFUNCTION("""COMPUTED_VALUE"""),"LAG 83")</f>
        <v>LAG 83</v>
      </c>
      <c r="D908" s="2">
        <f>IFERROR(__xludf.DUMMYFUNCTION("""COMPUTED_VALUE"""),27.0)</f>
        <v>27</v>
      </c>
      <c r="E908" s="2" t="str">
        <f>IFERROR(__xludf.DUMMYFUNCTION("""COMPUTED_VALUE"""),"Herrelag")</f>
        <v>Herrelag</v>
      </c>
    </row>
    <row r="909" ht="15.75" customHeight="1">
      <c r="A909" s="2">
        <f>IFERROR(__xludf.DUMMYFUNCTION("""COMPUTED_VALUE"""),45857.64703813657)</f>
        <v>45857.64704</v>
      </c>
      <c r="B909" s="2" t="str">
        <f>IFERROR(__xludf.DUMMYFUNCTION("""COMPUTED_VALUE"""),"Post 17")</f>
        <v>Post 17</v>
      </c>
      <c r="C909" s="2" t="str">
        <f>IFERROR(__xludf.DUMMYFUNCTION("""COMPUTED_VALUE"""),"LAG 37")</f>
        <v>LAG 37</v>
      </c>
      <c r="D909" s="2">
        <f>IFERROR(__xludf.DUMMYFUNCTION("""COMPUTED_VALUE"""),20.0)</f>
        <v>20</v>
      </c>
      <c r="E909" s="2" t="str">
        <f>IFERROR(__xludf.DUMMYFUNCTION("""COMPUTED_VALUE"""),"Herrelag")</f>
        <v>Herrelag</v>
      </c>
    </row>
    <row r="910" ht="15.75" customHeight="1">
      <c r="A910" s="2">
        <f>IFERROR(__xludf.DUMMYFUNCTION("""COMPUTED_VALUE"""),45857.64750528935)</f>
        <v>45857.64751</v>
      </c>
      <c r="B910" s="2" t="str">
        <f>IFERROR(__xludf.DUMMYFUNCTION("""COMPUTED_VALUE"""),"Post 17")</f>
        <v>Post 17</v>
      </c>
      <c r="C910" s="2" t="str">
        <f>IFERROR(__xludf.DUMMYFUNCTION("""COMPUTED_VALUE"""),"LAG 72")</f>
        <v>LAG 72</v>
      </c>
      <c r="D910" s="2">
        <f>IFERROR(__xludf.DUMMYFUNCTION("""COMPUTED_VALUE"""),23.0)</f>
        <v>23</v>
      </c>
      <c r="E910" s="2" t="str">
        <f>IFERROR(__xludf.DUMMYFUNCTION("""COMPUTED_VALUE"""),"Herrelag")</f>
        <v>Herrelag</v>
      </c>
    </row>
    <row r="911" ht="15.75" customHeight="1">
      <c r="A911" s="2">
        <f>IFERROR(__xludf.DUMMYFUNCTION("""COMPUTED_VALUE"""),45857.648022106485)</f>
        <v>45857.64802</v>
      </c>
      <c r="B911" s="2" t="str">
        <f>IFERROR(__xludf.DUMMYFUNCTION("""COMPUTED_VALUE"""),"Post 17")</f>
        <v>Post 17</v>
      </c>
      <c r="C911" s="2" t="str">
        <f>IFERROR(__xludf.DUMMYFUNCTION("""COMPUTED_VALUE"""),"LAG 81")</f>
        <v>LAG 81</v>
      </c>
      <c r="D911" s="2">
        <f>IFERROR(__xludf.DUMMYFUNCTION("""COMPUTED_VALUE"""),27.0)</f>
        <v>27</v>
      </c>
      <c r="E911" s="2" t="str">
        <f>IFERROR(__xludf.DUMMYFUNCTION("""COMPUTED_VALUE"""),"Herrelag")</f>
        <v>Herrelag</v>
      </c>
    </row>
    <row r="912" ht="15.75" customHeight="1">
      <c r="A912" s="2">
        <f>IFERROR(__xludf.DUMMYFUNCTION("""COMPUTED_VALUE"""),45857.64835158565)</f>
        <v>45857.64835</v>
      </c>
      <c r="B912" s="2" t="str">
        <f>IFERROR(__xludf.DUMMYFUNCTION("""COMPUTED_VALUE"""),"Post 17")</f>
        <v>Post 17</v>
      </c>
      <c r="C912" s="2" t="str">
        <f>IFERROR(__xludf.DUMMYFUNCTION("""COMPUTED_VALUE"""),"LAG 33")</f>
        <v>LAG 33</v>
      </c>
      <c r="D912" s="2">
        <f>IFERROR(__xludf.DUMMYFUNCTION("""COMPUTED_VALUE"""),29.0)</f>
        <v>29</v>
      </c>
      <c r="E912" s="2" t="str">
        <f>IFERROR(__xludf.DUMMYFUNCTION("""COMPUTED_VALUE"""),"Herrelag")</f>
        <v>Herrelag</v>
      </c>
    </row>
    <row r="913" ht="15.75" customHeight="1">
      <c r="A913" s="2">
        <f>IFERROR(__xludf.DUMMYFUNCTION("""COMPUTED_VALUE"""),45857.648788391205)</f>
        <v>45857.64879</v>
      </c>
      <c r="B913" s="2" t="str">
        <f>IFERROR(__xludf.DUMMYFUNCTION("""COMPUTED_VALUE"""),"Post 17")</f>
        <v>Post 17</v>
      </c>
      <c r="C913" s="2" t="str">
        <f>IFERROR(__xludf.DUMMYFUNCTION("""COMPUTED_VALUE"""),"LAG 75")</f>
        <v>LAG 75</v>
      </c>
      <c r="D913" s="2">
        <f>IFERROR(__xludf.DUMMYFUNCTION("""COMPUTED_VALUE"""),14.0)</f>
        <v>14</v>
      </c>
      <c r="E913" s="2" t="str">
        <f>IFERROR(__xludf.DUMMYFUNCTION("""COMPUTED_VALUE"""),"Herrelag")</f>
        <v>Herrelag</v>
      </c>
    </row>
    <row r="914" ht="15.75" customHeight="1">
      <c r="A914" s="2">
        <f>IFERROR(__xludf.DUMMYFUNCTION("""COMPUTED_VALUE"""),45857.649159664354)</f>
        <v>45857.64916</v>
      </c>
      <c r="B914" s="2" t="str">
        <f>IFERROR(__xludf.DUMMYFUNCTION("""COMPUTED_VALUE"""),"Post 17")</f>
        <v>Post 17</v>
      </c>
      <c r="C914" s="2" t="str">
        <f>IFERROR(__xludf.DUMMYFUNCTION("""COMPUTED_VALUE"""),"LAG 84")</f>
        <v>LAG 84</v>
      </c>
      <c r="D914" s="2">
        <f>IFERROR(__xludf.DUMMYFUNCTION("""COMPUTED_VALUE"""),28.0)</f>
        <v>28</v>
      </c>
      <c r="E914" s="2" t="str">
        <f>IFERROR(__xludf.DUMMYFUNCTION("""COMPUTED_VALUE"""),"Herrelag")</f>
        <v>Herrelag</v>
      </c>
    </row>
    <row r="915" ht="15.75" customHeight="1">
      <c r="A915" s="2">
        <f>IFERROR(__xludf.DUMMYFUNCTION("""COMPUTED_VALUE"""),45857.64940271991)</f>
        <v>45857.6494</v>
      </c>
      <c r="B915" s="2" t="str">
        <f>IFERROR(__xludf.DUMMYFUNCTION("""COMPUTED_VALUE"""),"Post 17")</f>
        <v>Post 17</v>
      </c>
      <c r="C915" s="2" t="str">
        <f>IFERROR(__xludf.DUMMYFUNCTION("""COMPUTED_VALUE"""),"LAG 9")</f>
        <v>LAG 9</v>
      </c>
      <c r="D915" s="2">
        <f>IFERROR(__xludf.DUMMYFUNCTION("""COMPUTED_VALUE"""),15.0)</f>
        <v>15</v>
      </c>
      <c r="E915" s="2" t="str">
        <f>IFERROR(__xludf.DUMMYFUNCTION("""COMPUTED_VALUE"""),"Herrelag")</f>
        <v>Herrelag</v>
      </c>
    </row>
    <row r="916" ht="15.75" customHeight="1">
      <c r="A916" s="2">
        <f>IFERROR(__xludf.DUMMYFUNCTION("""COMPUTED_VALUE"""),45857.64967233797)</f>
        <v>45857.64967</v>
      </c>
      <c r="B916" s="2" t="str">
        <f>IFERROR(__xludf.DUMMYFUNCTION("""COMPUTED_VALUE"""),"Post 17")</f>
        <v>Post 17</v>
      </c>
      <c r="C916" s="2" t="str">
        <f>IFERROR(__xludf.DUMMYFUNCTION("""COMPUTED_VALUE"""),"LAG 50")</f>
        <v>LAG 50</v>
      </c>
      <c r="D916" s="2">
        <f>IFERROR(__xludf.DUMMYFUNCTION("""COMPUTED_VALUE"""),9.0)</f>
        <v>9</v>
      </c>
      <c r="E916" s="2" t="str">
        <f>IFERROR(__xludf.DUMMYFUNCTION("""COMPUTED_VALUE"""),"Herrelag")</f>
        <v>Herrelag</v>
      </c>
    </row>
    <row r="917" ht="15.75" customHeight="1">
      <c r="A917" s="2">
        <f>IFERROR(__xludf.DUMMYFUNCTION("""COMPUTED_VALUE"""),45857.649952858796)</f>
        <v>45857.64995</v>
      </c>
      <c r="B917" s="2" t="str">
        <f>IFERROR(__xludf.DUMMYFUNCTION("""COMPUTED_VALUE"""),"Post 17")</f>
        <v>Post 17</v>
      </c>
      <c r="C917" s="2" t="str">
        <f>IFERROR(__xludf.DUMMYFUNCTION("""COMPUTED_VALUE"""),"LAG 4")</f>
        <v>LAG 4</v>
      </c>
      <c r="D917" s="2">
        <f>IFERROR(__xludf.DUMMYFUNCTION("""COMPUTED_VALUE"""),7.0)</f>
        <v>7</v>
      </c>
      <c r="E917" s="2" t="str">
        <f>IFERROR(__xludf.DUMMYFUNCTION("""COMPUTED_VALUE"""),"Herrelag")</f>
        <v>Herrelag</v>
      </c>
    </row>
    <row r="918" ht="15.75" customHeight="1">
      <c r="A918" s="2">
        <f>IFERROR(__xludf.DUMMYFUNCTION("""COMPUTED_VALUE"""),45857.65021739583)</f>
        <v>45857.65022</v>
      </c>
      <c r="B918" s="2" t="str">
        <f>IFERROR(__xludf.DUMMYFUNCTION("""COMPUTED_VALUE"""),"Post 17")</f>
        <v>Post 17</v>
      </c>
      <c r="C918" s="2" t="str">
        <f>IFERROR(__xludf.DUMMYFUNCTION("""COMPUTED_VALUE"""),"LAG 15")</f>
        <v>LAG 15</v>
      </c>
      <c r="D918" s="2">
        <f>IFERROR(__xludf.DUMMYFUNCTION("""COMPUTED_VALUE"""),27.0)</f>
        <v>27</v>
      </c>
      <c r="E918" s="2" t="str">
        <f>IFERROR(__xludf.DUMMYFUNCTION("""COMPUTED_VALUE"""),"Herrelag")</f>
        <v>Herrelag</v>
      </c>
    </row>
    <row r="919" ht="15.75" customHeight="1">
      <c r="A919" s="2">
        <f>IFERROR(__xludf.DUMMYFUNCTION("""COMPUTED_VALUE"""),45857.65049842592)</f>
        <v>45857.6505</v>
      </c>
      <c r="B919" s="2" t="str">
        <f>IFERROR(__xludf.DUMMYFUNCTION("""COMPUTED_VALUE"""),"Post 17")</f>
        <v>Post 17</v>
      </c>
      <c r="C919" s="2" t="str">
        <f>IFERROR(__xludf.DUMMYFUNCTION("""COMPUTED_VALUE"""),"LAG 10")</f>
        <v>LAG 10</v>
      </c>
      <c r="D919" s="2">
        <f>IFERROR(__xludf.DUMMYFUNCTION("""COMPUTED_VALUE"""),11.0)</f>
        <v>11</v>
      </c>
      <c r="E919" s="2" t="str">
        <f>IFERROR(__xludf.DUMMYFUNCTION("""COMPUTED_VALUE"""),"Herrelag")</f>
        <v>Herrelag</v>
      </c>
    </row>
    <row r="920" ht="15.75" customHeight="1">
      <c r="A920" s="2">
        <f>IFERROR(__xludf.DUMMYFUNCTION("""COMPUTED_VALUE"""),45857.651034027775)</f>
        <v>45857.65103</v>
      </c>
      <c r="B920" s="2" t="str">
        <f>IFERROR(__xludf.DUMMYFUNCTION("""COMPUTED_VALUE"""),"Post 17")</f>
        <v>Post 17</v>
      </c>
      <c r="C920" s="2" t="str">
        <f>IFERROR(__xludf.DUMMYFUNCTION("""COMPUTED_VALUE"""),"LAG 53")</f>
        <v>LAG 53</v>
      </c>
      <c r="D920" s="2">
        <f>IFERROR(__xludf.DUMMYFUNCTION("""COMPUTED_VALUE"""),15.0)</f>
        <v>15</v>
      </c>
      <c r="E920" s="2" t="str">
        <f>IFERROR(__xludf.DUMMYFUNCTION("""COMPUTED_VALUE"""),"Damelag")</f>
        <v>Damelag</v>
      </c>
    </row>
    <row r="921" ht="15.75" customHeight="1">
      <c r="A921" s="2">
        <f>IFERROR(__xludf.DUMMYFUNCTION("""COMPUTED_VALUE"""),45857.65155962963)</f>
        <v>45857.65156</v>
      </c>
      <c r="B921" s="2" t="str">
        <f>IFERROR(__xludf.DUMMYFUNCTION("""COMPUTED_VALUE"""),"Post 17")</f>
        <v>Post 17</v>
      </c>
      <c r="C921" s="2" t="str">
        <f>IFERROR(__xludf.DUMMYFUNCTION("""COMPUTED_VALUE"""),"LAG 78")</f>
        <v>LAG 78</v>
      </c>
      <c r="D921" s="2">
        <f>IFERROR(__xludf.DUMMYFUNCTION("""COMPUTED_VALUE"""),12.0)</f>
        <v>12</v>
      </c>
      <c r="E921" s="2" t="str">
        <f>IFERROR(__xludf.DUMMYFUNCTION("""COMPUTED_VALUE"""),"Damelag")</f>
        <v>Damelag</v>
      </c>
    </row>
    <row r="922" ht="15.75" customHeight="1">
      <c r="A922" s="2">
        <f>IFERROR(__xludf.DUMMYFUNCTION("""COMPUTED_VALUE"""),45857.65186519676)</f>
        <v>45857.65187</v>
      </c>
      <c r="B922" s="2" t="str">
        <f>IFERROR(__xludf.DUMMYFUNCTION("""COMPUTED_VALUE"""),"Post 17")</f>
        <v>Post 17</v>
      </c>
      <c r="C922" s="2" t="str">
        <f>IFERROR(__xludf.DUMMYFUNCTION("""COMPUTED_VALUE"""),"LAG 74")</f>
        <v>LAG 74</v>
      </c>
      <c r="D922" s="2">
        <f>IFERROR(__xludf.DUMMYFUNCTION("""COMPUTED_VALUE"""),11.0)</f>
        <v>11</v>
      </c>
      <c r="E922" s="2" t="str">
        <f>IFERROR(__xludf.DUMMYFUNCTION("""COMPUTED_VALUE"""),"Damelag")</f>
        <v>Damelag</v>
      </c>
    </row>
    <row r="923" ht="15.75" customHeight="1">
      <c r="A923" s="2">
        <f>IFERROR(__xludf.DUMMYFUNCTION("""COMPUTED_VALUE"""),45857.652128622685)</f>
        <v>45857.65213</v>
      </c>
      <c r="B923" s="2" t="str">
        <f>IFERROR(__xludf.DUMMYFUNCTION("""COMPUTED_VALUE"""),"Post 17")</f>
        <v>Post 17</v>
      </c>
      <c r="C923" s="2" t="str">
        <f>IFERROR(__xludf.DUMMYFUNCTION("""COMPUTED_VALUE"""),"LAG 34")</f>
        <v>LAG 34</v>
      </c>
      <c r="D923" s="2">
        <f>IFERROR(__xludf.DUMMYFUNCTION("""COMPUTED_VALUE"""),10.0)</f>
        <v>10</v>
      </c>
      <c r="E923" s="2" t="str">
        <f>IFERROR(__xludf.DUMMYFUNCTION("""COMPUTED_VALUE"""),"Damelag")</f>
        <v>Damelag</v>
      </c>
    </row>
    <row r="924" ht="15.75" customHeight="1">
      <c r="A924" s="2">
        <f>IFERROR(__xludf.DUMMYFUNCTION("""COMPUTED_VALUE"""),45857.65282841436)</f>
        <v>45857.65283</v>
      </c>
      <c r="B924" s="2" t="str">
        <f>IFERROR(__xludf.DUMMYFUNCTION("""COMPUTED_VALUE"""),"Post 17")</f>
        <v>Post 17</v>
      </c>
      <c r="C924" s="2" t="str">
        <f>IFERROR(__xludf.DUMMYFUNCTION("""COMPUTED_VALUE"""),"LAG 38")</f>
        <v>LAG 38</v>
      </c>
      <c r="D924" s="2">
        <f>IFERROR(__xludf.DUMMYFUNCTION("""COMPUTED_VALUE"""),9.0)</f>
        <v>9</v>
      </c>
      <c r="E924" s="2" t="str">
        <f>IFERROR(__xludf.DUMMYFUNCTION("""COMPUTED_VALUE"""),"Damelag")</f>
        <v>Damelag</v>
      </c>
    </row>
    <row r="925" ht="15.75" customHeight="1">
      <c r="A925" s="2">
        <f>IFERROR(__xludf.DUMMYFUNCTION("""COMPUTED_VALUE"""),45857.653031180555)</f>
        <v>45857.65303</v>
      </c>
      <c r="B925" s="2" t="str">
        <f>IFERROR(__xludf.DUMMYFUNCTION("""COMPUTED_VALUE"""),"Post 17")</f>
        <v>Post 17</v>
      </c>
      <c r="C925" s="2" t="str">
        <f>IFERROR(__xludf.DUMMYFUNCTION("""COMPUTED_VALUE"""),"LAG 20")</f>
        <v>LAG 20</v>
      </c>
      <c r="D925" s="2">
        <f>IFERROR(__xludf.DUMMYFUNCTION("""COMPUTED_VALUE"""),20.0)</f>
        <v>20</v>
      </c>
      <c r="E925" s="2" t="str">
        <f>IFERROR(__xludf.DUMMYFUNCTION("""COMPUTED_VALUE"""),"Damelag")</f>
        <v>Damelag</v>
      </c>
    </row>
    <row r="926" ht="15.75" customHeight="1">
      <c r="A926" s="2">
        <f>IFERROR(__xludf.DUMMYFUNCTION("""COMPUTED_VALUE"""),45857.65338497685)</f>
        <v>45857.65338</v>
      </c>
      <c r="B926" s="2" t="str">
        <f>IFERROR(__xludf.DUMMYFUNCTION("""COMPUTED_VALUE"""),"Post 17")</f>
        <v>Post 17</v>
      </c>
      <c r="C926" s="2" t="str">
        <f>IFERROR(__xludf.DUMMYFUNCTION("""COMPUTED_VALUE"""),"LAG 21")</f>
        <v>LAG 21</v>
      </c>
      <c r="D926" s="2">
        <f>IFERROR(__xludf.DUMMYFUNCTION("""COMPUTED_VALUE"""),22.0)</f>
        <v>22</v>
      </c>
      <c r="E926" s="2" t="str">
        <f>IFERROR(__xludf.DUMMYFUNCTION("""COMPUTED_VALUE"""),"Damelag")</f>
        <v>Damelag</v>
      </c>
    </row>
    <row r="927" ht="15.75" customHeight="1">
      <c r="A927" s="2">
        <f>IFERROR(__xludf.DUMMYFUNCTION("""COMPUTED_VALUE"""),45857.65363450232)</f>
        <v>45857.65363</v>
      </c>
      <c r="B927" s="2" t="str">
        <f>IFERROR(__xludf.DUMMYFUNCTION("""COMPUTED_VALUE"""),"Post 17")</f>
        <v>Post 17</v>
      </c>
      <c r="C927" s="2" t="str">
        <f>IFERROR(__xludf.DUMMYFUNCTION("""COMPUTED_VALUE"""),"LAG 17")</f>
        <v>LAG 17</v>
      </c>
      <c r="D927" s="2">
        <f>IFERROR(__xludf.DUMMYFUNCTION("""COMPUTED_VALUE"""),10.0)</f>
        <v>10</v>
      </c>
      <c r="E927" s="2" t="str">
        <f>IFERROR(__xludf.DUMMYFUNCTION("""COMPUTED_VALUE"""),"Damelag")</f>
        <v>Damelag</v>
      </c>
    </row>
    <row r="928" ht="15.75" customHeight="1">
      <c r="A928" s="2">
        <f>IFERROR(__xludf.DUMMYFUNCTION("""COMPUTED_VALUE"""),45857.6538892824)</f>
        <v>45857.65389</v>
      </c>
      <c r="B928" s="2" t="str">
        <f>IFERROR(__xludf.DUMMYFUNCTION("""COMPUTED_VALUE"""),"Post 17")</f>
        <v>Post 17</v>
      </c>
      <c r="C928" s="2" t="str">
        <f>IFERROR(__xludf.DUMMYFUNCTION("""COMPUTED_VALUE"""),"LAG 32")</f>
        <v>LAG 32</v>
      </c>
      <c r="D928" s="2">
        <f>IFERROR(__xludf.DUMMYFUNCTION("""COMPUTED_VALUE"""),24.0)</f>
        <v>24</v>
      </c>
      <c r="E928" s="2" t="str">
        <f>IFERROR(__xludf.DUMMYFUNCTION("""COMPUTED_VALUE"""),"Damelag")</f>
        <v>Damelag</v>
      </c>
    </row>
    <row r="929" ht="15.75" customHeight="1">
      <c r="A929" s="2">
        <f>IFERROR(__xludf.DUMMYFUNCTION("""COMPUTED_VALUE"""),45857.65420590278)</f>
        <v>45857.65421</v>
      </c>
      <c r="B929" s="2" t="str">
        <f>IFERROR(__xludf.DUMMYFUNCTION("""COMPUTED_VALUE"""),"Post 17")</f>
        <v>Post 17</v>
      </c>
      <c r="C929" s="2" t="str">
        <f>IFERROR(__xludf.DUMMYFUNCTION("""COMPUTED_VALUE"""),"LAG 64")</f>
        <v>LAG 64</v>
      </c>
      <c r="D929" s="2">
        <f>IFERROR(__xludf.DUMMYFUNCTION("""COMPUTED_VALUE"""),6.0)</f>
        <v>6</v>
      </c>
      <c r="E929" s="2" t="str">
        <f>IFERROR(__xludf.DUMMYFUNCTION("""COMPUTED_VALUE"""),"Damelag")</f>
        <v>Damelag</v>
      </c>
    </row>
    <row r="930" ht="15.75" customHeight="1">
      <c r="A930" s="2">
        <f>IFERROR(__xludf.DUMMYFUNCTION("""COMPUTED_VALUE"""),45857.65450212963)</f>
        <v>45857.6545</v>
      </c>
      <c r="B930" s="2" t="str">
        <f>IFERROR(__xludf.DUMMYFUNCTION("""COMPUTED_VALUE"""),"Post 17")</f>
        <v>Post 17</v>
      </c>
      <c r="C930" s="2" t="str">
        <f>IFERROR(__xludf.DUMMYFUNCTION("""COMPUTED_VALUE"""),"LAG 49")</f>
        <v>LAG 49</v>
      </c>
      <c r="D930" s="2">
        <f>IFERROR(__xludf.DUMMYFUNCTION("""COMPUTED_VALUE"""),16.0)</f>
        <v>16</v>
      </c>
      <c r="E930" s="2" t="str">
        <f>IFERROR(__xludf.DUMMYFUNCTION("""COMPUTED_VALUE"""),"Damelag")</f>
        <v>Damelag</v>
      </c>
    </row>
    <row r="931" ht="15.75" customHeight="1">
      <c r="A931" s="2">
        <f>IFERROR(__xludf.DUMMYFUNCTION("""COMPUTED_VALUE"""),45857.65474315972)</f>
        <v>45857.65474</v>
      </c>
      <c r="B931" s="2" t="str">
        <f>IFERROR(__xludf.DUMMYFUNCTION("""COMPUTED_VALUE"""),"Post 17")</f>
        <v>Post 17</v>
      </c>
      <c r="C931" s="2" t="str">
        <f>IFERROR(__xludf.DUMMYFUNCTION("""COMPUTED_VALUE"""),"LAG 26")</f>
        <v>LAG 26</v>
      </c>
      <c r="D931" s="2">
        <f>IFERROR(__xludf.DUMMYFUNCTION("""COMPUTED_VALUE"""),9.0)</f>
        <v>9</v>
      </c>
      <c r="E931" s="2" t="str">
        <f>IFERROR(__xludf.DUMMYFUNCTION("""COMPUTED_VALUE"""),"Damelag")</f>
        <v>Damelag</v>
      </c>
    </row>
    <row r="932" ht="15.75" customHeight="1">
      <c r="A932" s="2">
        <f>IFERROR(__xludf.DUMMYFUNCTION("""COMPUTED_VALUE"""),45857.655043680556)</f>
        <v>45857.65504</v>
      </c>
      <c r="B932" s="2" t="str">
        <f>IFERROR(__xludf.DUMMYFUNCTION("""COMPUTED_VALUE"""),"Post 17")</f>
        <v>Post 17</v>
      </c>
      <c r="C932" s="2" t="str">
        <f>IFERROR(__xludf.DUMMYFUNCTION("""COMPUTED_VALUE"""),"LAG 55")</f>
        <v>LAG 55</v>
      </c>
      <c r="D932" s="2">
        <f>IFERROR(__xludf.DUMMYFUNCTION("""COMPUTED_VALUE"""),20.0)</f>
        <v>20</v>
      </c>
      <c r="E932" s="2" t="str">
        <f>IFERROR(__xludf.DUMMYFUNCTION("""COMPUTED_VALUE"""),"Damelag")</f>
        <v>Damelag</v>
      </c>
    </row>
    <row r="933" ht="15.75" customHeight="1">
      <c r="A933" s="2">
        <f>IFERROR(__xludf.DUMMYFUNCTION("""COMPUTED_VALUE"""),45857.65527585648)</f>
        <v>45857.65528</v>
      </c>
      <c r="B933" s="2" t="str">
        <f>IFERROR(__xludf.DUMMYFUNCTION("""COMPUTED_VALUE"""),"Post 17")</f>
        <v>Post 17</v>
      </c>
      <c r="C933" s="2" t="str">
        <f>IFERROR(__xludf.DUMMYFUNCTION("""COMPUTED_VALUE"""),"LAG 35")</f>
        <v>LAG 35</v>
      </c>
      <c r="D933" s="2">
        <f>IFERROR(__xludf.DUMMYFUNCTION("""COMPUTED_VALUE"""),18.0)</f>
        <v>18</v>
      </c>
      <c r="E933" s="2" t="str">
        <f>IFERROR(__xludf.DUMMYFUNCTION("""COMPUTED_VALUE"""),"Damelag")</f>
        <v>Damelag</v>
      </c>
    </row>
    <row r="934" ht="15.75" customHeight="1">
      <c r="A934" s="2">
        <f>IFERROR(__xludf.DUMMYFUNCTION("""COMPUTED_VALUE"""),45857.6555478588)</f>
        <v>45857.65555</v>
      </c>
      <c r="B934" s="2" t="str">
        <f>IFERROR(__xludf.DUMMYFUNCTION("""COMPUTED_VALUE"""),"Post 17")</f>
        <v>Post 17</v>
      </c>
      <c r="C934" s="2" t="str">
        <f>IFERROR(__xludf.DUMMYFUNCTION("""COMPUTED_VALUE"""),"LAG 6")</f>
        <v>LAG 6</v>
      </c>
      <c r="D934" s="2">
        <f>IFERROR(__xludf.DUMMYFUNCTION("""COMPUTED_VALUE"""),20.0)</f>
        <v>20</v>
      </c>
      <c r="E934" s="2" t="str">
        <f>IFERROR(__xludf.DUMMYFUNCTION("""COMPUTED_VALUE"""),"Mixlag")</f>
        <v>Mixlag</v>
      </c>
    </row>
    <row r="935" ht="15.75" customHeight="1">
      <c r="A935" s="2">
        <f>IFERROR(__xludf.DUMMYFUNCTION("""COMPUTED_VALUE"""),45857.656111296295)</f>
        <v>45857.65611</v>
      </c>
      <c r="B935" s="2" t="str">
        <f>IFERROR(__xludf.DUMMYFUNCTION("""COMPUTED_VALUE"""),"Post 17")</f>
        <v>Post 17</v>
      </c>
      <c r="C935" s="2" t="str">
        <f>IFERROR(__xludf.DUMMYFUNCTION("""COMPUTED_VALUE"""),"LAG 41")</f>
        <v>LAG 41</v>
      </c>
      <c r="D935" s="2">
        <f>IFERROR(__xludf.DUMMYFUNCTION("""COMPUTED_VALUE"""),12.0)</f>
        <v>12</v>
      </c>
      <c r="E935" s="2" t="str">
        <f>IFERROR(__xludf.DUMMYFUNCTION("""COMPUTED_VALUE"""),"Mixlag")</f>
        <v>Mixlag</v>
      </c>
    </row>
    <row r="936" ht="15.75" customHeight="1">
      <c r="A936" s="2">
        <f>IFERROR(__xludf.DUMMYFUNCTION("""COMPUTED_VALUE"""),45857.65638246528)</f>
        <v>45857.65638</v>
      </c>
      <c r="B936" s="2" t="str">
        <f>IFERROR(__xludf.DUMMYFUNCTION("""COMPUTED_VALUE"""),"Post 17")</f>
        <v>Post 17</v>
      </c>
      <c r="C936" s="2" t="str">
        <f>IFERROR(__xludf.DUMMYFUNCTION("""COMPUTED_VALUE"""),"LAG 77")</f>
        <v>LAG 77</v>
      </c>
      <c r="D936" s="2">
        <f>IFERROR(__xludf.DUMMYFUNCTION("""COMPUTED_VALUE"""),15.0)</f>
        <v>15</v>
      </c>
      <c r="E936" s="2" t="str">
        <f>IFERROR(__xludf.DUMMYFUNCTION("""COMPUTED_VALUE"""),"Mixlag")</f>
        <v>Mixlag</v>
      </c>
    </row>
    <row r="937" ht="15.75" customHeight="1">
      <c r="A937" s="2">
        <f>IFERROR(__xludf.DUMMYFUNCTION("""COMPUTED_VALUE"""),45857.65667578704)</f>
        <v>45857.65668</v>
      </c>
      <c r="B937" s="2" t="str">
        <f>IFERROR(__xludf.DUMMYFUNCTION("""COMPUTED_VALUE"""),"Post 17")</f>
        <v>Post 17</v>
      </c>
      <c r="C937" s="2" t="str">
        <f>IFERROR(__xludf.DUMMYFUNCTION("""COMPUTED_VALUE"""),"LAG 76")</f>
        <v>LAG 76</v>
      </c>
      <c r="D937" s="2">
        <f>IFERROR(__xludf.DUMMYFUNCTION("""COMPUTED_VALUE"""),25.0)</f>
        <v>25</v>
      </c>
      <c r="E937" s="2" t="str">
        <f>IFERROR(__xludf.DUMMYFUNCTION("""COMPUTED_VALUE"""),"Mixlag")</f>
        <v>Mixlag</v>
      </c>
    </row>
    <row r="938" ht="15.75" customHeight="1">
      <c r="A938" s="2">
        <f>IFERROR(__xludf.DUMMYFUNCTION("""COMPUTED_VALUE"""),45857.6570622338)</f>
        <v>45857.65706</v>
      </c>
      <c r="B938" s="2" t="str">
        <f>IFERROR(__xludf.DUMMYFUNCTION("""COMPUTED_VALUE"""),"Post 17")</f>
        <v>Post 17</v>
      </c>
      <c r="C938" s="2" t="str">
        <f>IFERROR(__xludf.DUMMYFUNCTION("""COMPUTED_VALUE"""),"LAG 14")</f>
        <v>LAG 14</v>
      </c>
      <c r="D938" s="2">
        <f>IFERROR(__xludf.DUMMYFUNCTION("""COMPUTED_VALUE"""),11.0)</f>
        <v>11</v>
      </c>
      <c r="E938" s="2" t="str">
        <f>IFERROR(__xludf.DUMMYFUNCTION("""COMPUTED_VALUE"""),"Mixlag")</f>
        <v>Mixlag</v>
      </c>
    </row>
    <row r="939" ht="15.75" customHeight="1">
      <c r="A939" s="2">
        <f>IFERROR(__xludf.DUMMYFUNCTION("""COMPUTED_VALUE"""),45857.657297453705)</f>
        <v>45857.6573</v>
      </c>
      <c r="B939" s="2" t="str">
        <f>IFERROR(__xludf.DUMMYFUNCTION("""COMPUTED_VALUE"""),"Post 17")</f>
        <v>Post 17</v>
      </c>
      <c r="C939" s="2" t="str">
        <f>IFERROR(__xludf.DUMMYFUNCTION("""COMPUTED_VALUE"""),"LAG 7")</f>
        <v>LAG 7</v>
      </c>
      <c r="D939" s="2">
        <f>IFERROR(__xludf.DUMMYFUNCTION("""COMPUTED_VALUE"""),7.0)</f>
        <v>7</v>
      </c>
      <c r="E939" s="2" t="str">
        <f>IFERROR(__xludf.DUMMYFUNCTION("""COMPUTED_VALUE"""),"Mixlag")</f>
        <v>Mixlag</v>
      </c>
    </row>
    <row r="940" ht="15.75" customHeight="1">
      <c r="A940" s="2">
        <f>IFERROR(__xludf.DUMMYFUNCTION("""COMPUTED_VALUE"""),45857.65759615741)</f>
        <v>45857.6576</v>
      </c>
      <c r="B940" s="2" t="str">
        <f>IFERROR(__xludf.DUMMYFUNCTION("""COMPUTED_VALUE"""),"Post 17")</f>
        <v>Post 17</v>
      </c>
      <c r="C940" s="2" t="str">
        <f>IFERROR(__xludf.DUMMYFUNCTION("""COMPUTED_VALUE"""),"LAG 70")</f>
        <v>LAG 70</v>
      </c>
      <c r="D940" s="2">
        <f>IFERROR(__xludf.DUMMYFUNCTION("""COMPUTED_VALUE"""),6.0)</f>
        <v>6</v>
      </c>
      <c r="E940" s="2" t="str">
        <f>IFERROR(__xludf.DUMMYFUNCTION("""COMPUTED_VALUE"""),"Mixlag")</f>
        <v>Mixlag</v>
      </c>
    </row>
    <row r="941" ht="15.75" customHeight="1">
      <c r="A941" s="2">
        <f>IFERROR(__xludf.DUMMYFUNCTION("""COMPUTED_VALUE"""),45857.657943391205)</f>
        <v>45857.65794</v>
      </c>
      <c r="B941" s="2" t="str">
        <f>IFERROR(__xludf.DUMMYFUNCTION("""COMPUTED_VALUE"""),"Post 17")</f>
        <v>Post 17</v>
      </c>
      <c r="C941" s="2" t="str">
        <f>IFERROR(__xludf.DUMMYFUNCTION("""COMPUTED_VALUE"""),"LAG 5")</f>
        <v>LAG 5</v>
      </c>
      <c r="D941" s="2">
        <f>IFERROR(__xludf.DUMMYFUNCTION("""COMPUTED_VALUE"""),11.0)</f>
        <v>11</v>
      </c>
      <c r="E941" s="2" t="str">
        <f>IFERROR(__xludf.DUMMYFUNCTION("""COMPUTED_VALUE"""),"Mixlag")</f>
        <v>Mixlag</v>
      </c>
    </row>
    <row r="942" ht="15.75" customHeight="1">
      <c r="A942" s="2">
        <f>IFERROR(__xludf.DUMMYFUNCTION("""COMPUTED_VALUE"""),45857.65865298611)</f>
        <v>45857.65865</v>
      </c>
      <c r="B942" s="2" t="str">
        <f>IFERROR(__xludf.DUMMYFUNCTION("""COMPUTED_VALUE"""),"Post 17")</f>
        <v>Post 17</v>
      </c>
      <c r="C942" s="2" t="str">
        <f>IFERROR(__xludf.DUMMYFUNCTION("""COMPUTED_VALUE"""),"LAG 46")</f>
        <v>LAG 46</v>
      </c>
      <c r="D942" s="2">
        <f>IFERROR(__xludf.DUMMYFUNCTION("""COMPUTED_VALUE"""),14.0)</f>
        <v>14</v>
      </c>
      <c r="E942" s="2" t="str">
        <f>IFERROR(__xludf.DUMMYFUNCTION("""COMPUTED_VALUE"""),"Mixlag")</f>
        <v>Mixlag</v>
      </c>
    </row>
    <row r="943" ht="15.75" customHeight="1">
      <c r="A943" s="2">
        <f>IFERROR(__xludf.DUMMYFUNCTION("""COMPUTED_VALUE"""),45857.65905055555)</f>
        <v>45857.65905</v>
      </c>
      <c r="B943" s="2" t="str">
        <f>IFERROR(__xludf.DUMMYFUNCTION("""COMPUTED_VALUE"""),"Post 17")</f>
        <v>Post 17</v>
      </c>
      <c r="C943" s="2" t="str">
        <f>IFERROR(__xludf.DUMMYFUNCTION("""COMPUTED_VALUE"""),"LAG 73")</f>
        <v>LAG 73</v>
      </c>
      <c r="D943" s="2">
        <f>IFERROR(__xludf.DUMMYFUNCTION("""COMPUTED_VALUE"""),7.0)</f>
        <v>7</v>
      </c>
      <c r="E943" s="2" t="str">
        <f>IFERROR(__xludf.DUMMYFUNCTION("""COMPUTED_VALUE"""),"Mixlag")</f>
        <v>Mixlag</v>
      </c>
    </row>
    <row r="944" ht="15.75" customHeight="1">
      <c r="A944" s="2"/>
      <c r="B944" s="2"/>
      <c r="C944" s="2"/>
      <c r="D944" s="2"/>
      <c r="E944" s="2"/>
    </row>
    <row r="945" ht="15.75" customHeight="1">
      <c r="A945" s="2"/>
      <c r="B945" s="2"/>
      <c r="C945" s="2"/>
      <c r="D945" s="2"/>
      <c r="E945" s="2"/>
    </row>
    <row r="946" ht="15.75" customHeight="1">
      <c r="A946" s="2"/>
      <c r="B946" s="2"/>
      <c r="C946" s="2"/>
      <c r="D946" s="2"/>
      <c r="E946" s="2"/>
    </row>
    <row r="947" ht="15.75" customHeight="1">
      <c r="A947" s="2"/>
      <c r="B947" s="2"/>
      <c r="C947" s="2"/>
      <c r="D947" s="2"/>
      <c r="E947" s="2"/>
    </row>
    <row r="948" ht="15.75" customHeight="1">
      <c r="A948" s="2"/>
      <c r="B948" s="2"/>
      <c r="C948" s="2"/>
      <c r="D948" s="2"/>
      <c r="E948" s="2"/>
    </row>
    <row r="949" ht="15.75" customHeight="1">
      <c r="A949" s="2"/>
      <c r="B949" s="2"/>
      <c r="C949" s="2"/>
      <c r="D949" s="2"/>
      <c r="E949" s="2"/>
    </row>
    <row r="950" ht="15.75" customHeight="1">
      <c r="A950" s="2"/>
      <c r="B950" s="2"/>
      <c r="C950" s="2"/>
      <c r="D950" s="2"/>
      <c r="E950" s="2"/>
    </row>
    <row r="951" ht="15.75" customHeight="1">
      <c r="A951" s="2"/>
      <c r="B951" s="2"/>
      <c r="C951" s="2"/>
      <c r="D951" s="2"/>
      <c r="E951" s="2"/>
    </row>
    <row r="952" ht="15.75" customHeight="1">
      <c r="A952" s="2"/>
      <c r="B952" s="2"/>
      <c r="C952" s="2"/>
      <c r="D952" s="2"/>
      <c r="E952" s="2"/>
    </row>
    <row r="953" ht="15.75" customHeight="1">
      <c r="A953" s="2"/>
      <c r="B953" s="2"/>
      <c r="C953" s="2"/>
      <c r="D953" s="2"/>
      <c r="E953" s="2"/>
    </row>
    <row r="954" ht="15.75" customHeight="1">
      <c r="A954" s="2"/>
      <c r="B954" s="2"/>
      <c r="C954" s="2"/>
      <c r="D954" s="2"/>
      <c r="E954" s="2"/>
    </row>
    <row r="955" ht="15.75" customHeight="1">
      <c r="A955" s="2"/>
      <c r="B955" s="2"/>
      <c r="C955" s="2"/>
      <c r="D955" s="2"/>
      <c r="E955" s="2"/>
    </row>
    <row r="956" ht="15.75" customHeight="1">
      <c r="A956" s="2"/>
      <c r="B956" s="2"/>
      <c r="C956" s="2"/>
      <c r="D956" s="2"/>
      <c r="E956" s="2"/>
    </row>
    <row r="957" ht="15.75" customHeight="1">
      <c r="A957" s="2"/>
      <c r="B957" s="2"/>
      <c r="C957" s="2"/>
      <c r="D957" s="2"/>
      <c r="E957" s="2"/>
    </row>
    <row r="958" ht="15.75" customHeight="1">
      <c r="A958" s="2"/>
      <c r="B958" s="2"/>
      <c r="C958" s="2"/>
      <c r="D958" s="2"/>
      <c r="E958" s="2"/>
    </row>
    <row r="959" ht="15.75" customHeight="1">
      <c r="A959" s="2"/>
      <c r="B959" s="2"/>
      <c r="C959" s="2"/>
      <c r="D959" s="2"/>
      <c r="E959" s="2"/>
    </row>
    <row r="960" ht="15.75" customHeight="1">
      <c r="A960" s="2"/>
      <c r="B960" s="2"/>
      <c r="C960" s="2"/>
      <c r="D960" s="2"/>
      <c r="E960" s="2"/>
    </row>
    <row r="961" ht="15.75" customHeight="1">
      <c r="A961" s="2"/>
      <c r="B961" s="2"/>
      <c r="C961" s="2"/>
      <c r="D961" s="2"/>
      <c r="E961" s="2"/>
    </row>
    <row r="962" ht="15.75" customHeight="1">
      <c r="A962" s="2"/>
      <c r="B962" s="2"/>
      <c r="C962" s="2"/>
      <c r="D962" s="2"/>
      <c r="E962" s="2"/>
    </row>
    <row r="963" ht="15.75" customHeight="1">
      <c r="A963" s="2"/>
      <c r="B963" s="2"/>
      <c r="C963" s="2"/>
      <c r="D963" s="2"/>
      <c r="E963" s="2"/>
    </row>
    <row r="964" ht="15.75" customHeight="1">
      <c r="A964" s="2"/>
      <c r="B964" s="2"/>
      <c r="C964" s="2"/>
      <c r="D964" s="2"/>
      <c r="E964" s="2"/>
    </row>
    <row r="965" ht="15.75" customHeight="1">
      <c r="A965" s="2"/>
      <c r="B965" s="2"/>
      <c r="C965" s="2"/>
      <c r="D965" s="2"/>
      <c r="E965" s="2"/>
    </row>
    <row r="966" ht="15.75" customHeight="1">
      <c r="A966" s="2"/>
      <c r="B966" s="2"/>
      <c r="C966" s="2"/>
      <c r="D966" s="2"/>
      <c r="E966" s="2"/>
    </row>
    <row r="967" ht="15.75" customHeight="1">
      <c r="A967" s="2"/>
      <c r="B967" s="2"/>
      <c r="C967" s="2"/>
      <c r="D967" s="2"/>
      <c r="E967" s="2"/>
    </row>
    <row r="968" ht="15.75" customHeight="1">
      <c r="A968" s="2"/>
      <c r="B968" s="2"/>
      <c r="C968" s="2"/>
      <c r="D968" s="2"/>
      <c r="E968" s="2"/>
    </row>
    <row r="969" ht="15.75" customHeight="1">
      <c r="A969" s="2"/>
      <c r="B969" s="2"/>
      <c r="C969" s="2"/>
      <c r="D969" s="2"/>
      <c r="E969" s="2"/>
    </row>
    <row r="970" ht="15.75" customHeight="1">
      <c r="A970" s="2"/>
      <c r="B970" s="2"/>
      <c r="C970" s="2"/>
      <c r="D970" s="2"/>
      <c r="E970" s="2"/>
    </row>
    <row r="971" ht="15.75" customHeight="1">
      <c r="A971" s="2"/>
      <c r="B971" s="2"/>
      <c r="C971" s="2"/>
      <c r="D971" s="2"/>
      <c r="E971" s="2"/>
    </row>
    <row r="972" ht="15.75" customHeight="1">
      <c r="A972" s="2"/>
      <c r="B972" s="2"/>
      <c r="C972" s="2"/>
      <c r="D972" s="2"/>
      <c r="E972" s="2"/>
    </row>
    <row r="973" ht="15.75" customHeight="1">
      <c r="A973" s="2"/>
      <c r="B973" s="2"/>
      <c r="C973" s="2"/>
      <c r="D973" s="2"/>
      <c r="E973" s="2"/>
    </row>
    <row r="974" ht="15.75" customHeight="1">
      <c r="A974" s="2"/>
      <c r="B974" s="2"/>
      <c r="C974" s="2"/>
      <c r="D974" s="2"/>
      <c r="E974" s="2"/>
    </row>
    <row r="975" ht="15.75" customHeight="1">
      <c r="A975" s="2"/>
      <c r="B975" s="2"/>
      <c r="C975" s="2"/>
      <c r="D975" s="2"/>
      <c r="E975" s="2"/>
    </row>
    <row r="976" ht="15.75" customHeight="1">
      <c r="A976" s="2"/>
      <c r="B976" s="2"/>
      <c r="C976" s="2"/>
      <c r="D976" s="2"/>
      <c r="E976" s="2"/>
    </row>
    <row r="977" ht="15.75" customHeight="1">
      <c r="A977" s="2"/>
      <c r="B977" s="2"/>
      <c r="C977" s="2"/>
      <c r="D977" s="2"/>
      <c r="E977" s="2"/>
    </row>
    <row r="978" ht="15.75" customHeight="1">
      <c r="A978" s="2"/>
      <c r="B978" s="2"/>
      <c r="C978" s="2"/>
      <c r="D978" s="2"/>
      <c r="E978" s="2"/>
    </row>
    <row r="979" ht="15.75" customHeight="1">
      <c r="A979" s="2"/>
      <c r="B979" s="2"/>
      <c r="C979" s="2"/>
      <c r="D979" s="2"/>
      <c r="E979" s="2"/>
    </row>
    <row r="980" ht="15.75" customHeight="1">
      <c r="A980" s="2"/>
      <c r="B980" s="2"/>
      <c r="C980" s="2"/>
      <c r="D980" s="2"/>
      <c r="E980" s="2"/>
    </row>
    <row r="981" ht="15.75" customHeight="1">
      <c r="A981" s="2"/>
      <c r="B981" s="2"/>
      <c r="C981" s="2"/>
      <c r="D981" s="2"/>
      <c r="E981" s="2"/>
    </row>
    <row r="982" ht="15.75" customHeight="1">
      <c r="A982" s="2"/>
      <c r="B982" s="2"/>
      <c r="C982" s="2"/>
      <c r="D982" s="2"/>
      <c r="E982" s="2"/>
    </row>
    <row r="983" ht="15.75" customHeight="1">
      <c r="A983" s="2"/>
      <c r="B983" s="2"/>
      <c r="C983" s="2"/>
      <c r="D983" s="2"/>
      <c r="E983" s="2"/>
    </row>
    <row r="984" ht="15.75" customHeight="1">
      <c r="A984" s="2"/>
      <c r="B984" s="2"/>
      <c r="C984" s="2"/>
      <c r="D984" s="2"/>
      <c r="E984" s="2"/>
    </row>
    <row r="985" ht="15.75" customHeight="1">
      <c r="A985" s="2"/>
      <c r="B985" s="2"/>
      <c r="C985" s="2"/>
      <c r="D985" s="2"/>
      <c r="E985" s="2"/>
    </row>
    <row r="986" ht="15.75" customHeight="1">
      <c r="A986" s="2"/>
      <c r="B986" s="2"/>
      <c r="C986" s="2"/>
      <c r="D986" s="2"/>
      <c r="E986" s="2"/>
    </row>
    <row r="987" ht="15.75" customHeight="1">
      <c r="A987" s="2"/>
      <c r="B987" s="2"/>
      <c r="C987" s="2"/>
      <c r="D987" s="2"/>
      <c r="E987" s="2"/>
    </row>
    <row r="988" ht="15.75" customHeight="1">
      <c r="A988" s="2"/>
      <c r="B988" s="2"/>
      <c r="C988" s="2"/>
      <c r="D988" s="2"/>
      <c r="E988" s="2"/>
    </row>
    <row r="989" ht="15.75" customHeight="1">
      <c r="A989" s="2"/>
      <c r="B989" s="2"/>
      <c r="C989" s="2"/>
      <c r="D989" s="2"/>
      <c r="E989" s="2"/>
    </row>
    <row r="990" ht="15.75" customHeight="1">
      <c r="A990" s="2"/>
      <c r="B990" s="2"/>
      <c r="C990" s="2"/>
      <c r="D990" s="2"/>
      <c r="E990" s="2"/>
    </row>
    <row r="991" ht="15.75" customHeight="1">
      <c r="A991" s="2"/>
      <c r="B991" s="2"/>
      <c r="C991" s="2"/>
      <c r="D991" s="2"/>
      <c r="E991" s="2"/>
    </row>
    <row r="992" ht="15.75" customHeight="1">
      <c r="A992" s="2"/>
      <c r="B992" s="2"/>
      <c r="C992" s="2"/>
      <c r="D992" s="2"/>
      <c r="E992" s="2"/>
    </row>
    <row r="993" ht="15.75" customHeight="1">
      <c r="A993" s="2"/>
      <c r="B993" s="2"/>
      <c r="C993" s="2"/>
      <c r="D993" s="2"/>
      <c r="E993" s="2"/>
    </row>
    <row r="994" ht="15.75" customHeight="1">
      <c r="A994" s="2"/>
      <c r="B994" s="2"/>
      <c r="C994" s="2"/>
      <c r="D994" s="2"/>
      <c r="E994" s="2"/>
    </row>
    <row r="995" ht="15.75" customHeight="1">
      <c r="A995" s="2"/>
      <c r="B995" s="2"/>
      <c r="C995" s="2"/>
      <c r="D995" s="2"/>
      <c r="E995" s="2"/>
    </row>
    <row r="996" ht="15.75" customHeight="1">
      <c r="A996" s="2"/>
      <c r="B996" s="2"/>
      <c r="C996" s="2"/>
      <c r="D996" s="2"/>
      <c r="E996" s="2"/>
    </row>
    <row r="997" ht="15.75" customHeight="1">
      <c r="A997" s="2"/>
      <c r="B997" s="2"/>
      <c r="C997" s="2"/>
      <c r="D997" s="2"/>
      <c r="E997" s="2"/>
    </row>
    <row r="998" ht="15.75" customHeight="1">
      <c r="A998" s="2"/>
      <c r="B998" s="2"/>
      <c r="C998" s="2"/>
      <c r="D998" s="2"/>
      <c r="E998" s="2"/>
    </row>
    <row r="999" ht="15.75" customHeight="1">
      <c r="A999" s="2"/>
      <c r="B999" s="2"/>
      <c r="C999" s="2"/>
      <c r="D999" s="2"/>
      <c r="E999" s="2"/>
    </row>
    <row r="1000" ht="15.75" customHeight="1">
      <c r="A1000" s="2"/>
      <c r="B1000" s="2"/>
      <c r="C1000" s="2"/>
      <c r="D1000" s="2"/>
      <c r="E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2025-07-19T13:03:13Z</dcterms:created>
  <dc:creator>Bruker2</dc:creator>
</cp:coreProperties>
</file>